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defaultThemeVersion="124226"/>
  <mc:AlternateContent xmlns:mc="http://schemas.openxmlformats.org/markup-compatibility/2006">
    <mc:Choice Requires="x15">
      <x15ac:absPath xmlns:x15ac="http://schemas.microsoft.com/office/spreadsheetml/2010/11/ac" url="F:\INFORMACIÓN OFICINA\ALEX L\Pliegos\2020\OBRA CDU\EVALUACIÓN\"/>
    </mc:Choice>
  </mc:AlternateContent>
  <xr:revisionPtr revIDLastSave="0" documentId="13_ncr:1_{CF6B33BF-1B15-45A6-A61B-9683D39648F7}" xr6:coauthVersionLast="45" xr6:coauthVersionMax="45" xr10:uidLastSave="{00000000-0000-0000-0000-000000000000}"/>
  <bookViews>
    <workbookView xWindow="-120" yWindow="-120" windowWidth="20730" windowHeight="11160" xr2:uid="{00000000-000D-0000-FFFF-FFFF00000000}"/>
  </bookViews>
  <sheets>
    <sheet name="VERIFICACIÓN JURÍDICA" sheetId="75" r:id="rId1"/>
    <sheet name="VERIFICACIÓN FINANCIERA" sheetId="76" r:id="rId2"/>
    <sheet name="VERIFICACIÓN TÉCNICA" sheetId="57" r:id="rId3"/>
    <sheet name="VTE" sheetId="33" r:id="rId4"/>
    <sheet name="VTE PERSONAL" sheetId="74" r:id="rId5"/>
    <sheet name="CHEQUEO Kr" sheetId="73" r:id="rId6"/>
    <sheet name="CALIFICACION PERSONAL" sheetId="60" r:id="rId7"/>
    <sheet name="CORREC. ARITM. GENERAL1" sheetId="72" state="hidden" r:id="rId8"/>
    <sheet name="CORREC. ARITM. GENERAL" sheetId="65"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 localSheetId="5">#REF!</definedName>
    <definedName name="_" localSheetId="4">#REF!</definedName>
    <definedName name="_">#REF!</definedName>
    <definedName name="___PP1" localSheetId="5">#REF!</definedName>
    <definedName name="___PP1" localSheetId="4">#REF!</definedName>
    <definedName name="___PP1">#REF!</definedName>
    <definedName name="___PP10" localSheetId="5">#REF!</definedName>
    <definedName name="___PP10" localSheetId="4">#REF!</definedName>
    <definedName name="___PP10">#REF!</definedName>
    <definedName name="___PP11" localSheetId="5">#REF!</definedName>
    <definedName name="___PP11" localSheetId="4">#REF!</definedName>
    <definedName name="___PP11">#REF!</definedName>
    <definedName name="___PP12" localSheetId="5">#REF!</definedName>
    <definedName name="___PP12" localSheetId="4">#REF!</definedName>
    <definedName name="___PP12">#REF!</definedName>
    <definedName name="___PP13" localSheetId="5">#REF!</definedName>
    <definedName name="___PP13" localSheetId="4">#REF!</definedName>
    <definedName name="___PP13">#REF!</definedName>
    <definedName name="___PP14" localSheetId="5">#REF!</definedName>
    <definedName name="___PP14" localSheetId="4">#REF!</definedName>
    <definedName name="___PP14">#REF!</definedName>
    <definedName name="___PP2" localSheetId="5">#REF!</definedName>
    <definedName name="___PP2" localSheetId="4">#REF!</definedName>
    <definedName name="___PP2">#REF!</definedName>
    <definedName name="___PP3" localSheetId="5">#REF!</definedName>
    <definedName name="___PP3" localSheetId="4">#REF!</definedName>
    <definedName name="___PP3">#REF!</definedName>
    <definedName name="___PP4" localSheetId="5">#REF!</definedName>
    <definedName name="___PP4" localSheetId="4">#REF!</definedName>
    <definedName name="___PP4">#REF!</definedName>
    <definedName name="___PP5" localSheetId="5">#REF!</definedName>
    <definedName name="___PP5" localSheetId="4">#REF!</definedName>
    <definedName name="___PP5">#REF!</definedName>
    <definedName name="___PP6" localSheetId="5">#REF!</definedName>
    <definedName name="___PP6" localSheetId="4">#REF!</definedName>
    <definedName name="___PP6">#REF!</definedName>
    <definedName name="___PP7" localSheetId="5">#REF!</definedName>
    <definedName name="___PP7" localSheetId="4">#REF!</definedName>
    <definedName name="___PP7">#REF!</definedName>
    <definedName name="___PP8" localSheetId="5">#REF!</definedName>
    <definedName name="___PP8" localSheetId="4">#REF!</definedName>
    <definedName name="___PP8">#REF!</definedName>
    <definedName name="___PP9" localSheetId="5">#REF!</definedName>
    <definedName name="___PP9" localSheetId="4">#REF!</definedName>
    <definedName name="___PP9">#REF!</definedName>
    <definedName name="__PP1" localSheetId="5">#REF!</definedName>
    <definedName name="__PP1" localSheetId="4">#REF!</definedName>
    <definedName name="__PP1">#REF!</definedName>
    <definedName name="__PP10" localSheetId="5">#REF!</definedName>
    <definedName name="__PP10" localSheetId="4">#REF!</definedName>
    <definedName name="__PP10">#REF!</definedName>
    <definedName name="__PP11" localSheetId="5">#REF!</definedName>
    <definedName name="__PP11" localSheetId="4">#REF!</definedName>
    <definedName name="__PP11">#REF!</definedName>
    <definedName name="__PP12" localSheetId="5">#REF!</definedName>
    <definedName name="__PP12" localSheetId="4">#REF!</definedName>
    <definedName name="__PP12">#REF!</definedName>
    <definedName name="__PP13" localSheetId="5">#REF!</definedName>
    <definedName name="__PP13" localSheetId="4">#REF!</definedName>
    <definedName name="__PP13">#REF!</definedName>
    <definedName name="__PP14" localSheetId="5">#REF!</definedName>
    <definedName name="__PP14" localSheetId="4">#REF!</definedName>
    <definedName name="__PP14">#REF!</definedName>
    <definedName name="__PP2" localSheetId="5">#REF!</definedName>
    <definedName name="__PP2" localSheetId="4">#REF!</definedName>
    <definedName name="__PP2">#REF!</definedName>
    <definedName name="__PP3" localSheetId="5">#REF!</definedName>
    <definedName name="__PP3" localSheetId="4">#REF!</definedName>
    <definedName name="__PP3">#REF!</definedName>
    <definedName name="__PP4" localSheetId="5">#REF!</definedName>
    <definedName name="__PP4" localSheetId="4">#REF!</definedName>
    <definedName name="__PP4">#REF!</definedName>
    <definedName name="__PP5" localSheetId="5">#REF!</definedName>
    <definedName name="__PP5" localSheetId="4">#REF!</definedName>
    <definedName name="__PP5">#REF!</definedName>
    <definedName name="__PP6" localSheetId="5">#REF!</definedName>
    <definedName name="__PP6" localSheetId="4">#REF!</definedName>
    <definedName name="__PP6">#REF!</definedName>
    <definedName name="__PP7" localSheetId="5">#REF!</definedName>
    <definedName name="__PP7" localSheetId="4">#REF!</definedName>
    <definedName name="__PP7">#REF!</definedName>
    <definedName name="__PP8" localSheetId="5">#REF!</definedName>
    <definedName name="__PP8" localSheetId="4">#REF!</definedName>
    <definedName name="__PP8">#REF!</definedName>
    <definedName name="__PP9" localSheetId="5">#REF!</definedName>
    <definedName name="__PP9" localSheetId="4">#REF!</definedName>
    <definedName name="__PP9">#REF!</definedName>
    <definedName name="_MatMult_A" localSheetId="5" hidden="1">[1]PRESUP.!#REF!</definedName>
    <definedName name="_MatMult_A" localSheetId="4" hidden="1">[1]PRESUP.!#REF!</definedName>
    <definedName name="_MatMult_A" hidden="1">[1]PRESUP.!#REF!</definedName>
    <definedName name="_MatMult_AxB" localSheetId="5" hidden="1">[1]PRESUP.!#REF!</definedName>
    <definedName name="_MatMult_AxB" localSheetId="4" hidden="1">[1]PRESUP.!#REF!</definedName>
    <definedName name="_MatMult_AxB" hidden="1">[1]PRESUP.!#REF!</definedName>
    <definedName name="_MatMult_B" localSheetId="5" hidden="1">[1]PRESUP.!#REF!</definedName>
    <definedName name="_MatMult_B" localSheetId="4" hidden="1">[1]PRESUP.!#REF!</definedName>
    <definedName name="_MatMult_B" hidden="1">[1]PRESUP.!#REF!</definedName>
    <definedName name="_PP1" localSheetId="5">#REF!</definedName>
    <definedName name="_PP1" localSheetId="4">#REF!</definedName>
    <definedName name="_PP1">#REF!</definedName>
    <definedName name="_PP10" localSheetId="5">#REF!</definedName>
    <definedName name="_PP10" localSheetId="4">#REF!</definedName>
    <definedName name="_PP10">#REF!</definedName>
    <definedName name="_PP11" localSheetId="5">#REF!</definedName>
    <definedName name="_PP11" localSheetId="4">#REF!</definedName>
    <definedName name="_PP11">#REF!</definedName>
    <definedName name="_PP12" localSheetId="5">#REF!</definedName>
    <definedName name="_PP12" localSheetId="4">#REF!</definedName>
    <definedName name="_PP12">#REF!</definedName>
    <definedName name="_PP13" localSheetId="5">#REF!</definedName>
    <definedName name="_PP13" localSheetId="4">#REF!</definedName>
    <definedName name="_PP13">#REF!</definedName>
    <definedName name="_PP14" localSheetId="5">#REF!</definedName>
    <definedName name="_PP14" localSheetId="4">#REF!</definedName>
    <definedName name="_PP14">#REF!</definedName>
    <definedName name="_PP2" localSheetId="5">#REF!</definedName>
    <definedName name="_PP2" localSheetId="4">#REF!</definedName>
    <definedName name="_PP2">#REF!</definedName>
    <definedName name="_PP3" localSheetId="5">#REF!</definedName>
    <definedName name="_PP3" localSheetId="4">#REF!</definedName>
    <definedName name="_PP3">#REF!</definedName>
    <definedName name="_PP4" localSheetId="5">#REF!</definedName>
    <definedName name="_PP4" localSheetId="4">#REF!</definedName>
    <definedName name="_PP4">#REF!</definedName>
    <definedName name="_PP5" localSheetId="5">#REF!</definedName>
    <definedName name="_PP5" localSheetId="4">#REF!</definedName>
    <definedName name="_PP5">#REF!</definedName>
    <definedName name="_PP6" localSheetId="5">#REF!</definedName>
    <definedName name="_PP6" localSheetId="4">#REF!</definedName>
    <definedName name="_PP6">#REF!</definedName>
    <definedName name="_PP7" localSheetId="5">#REF!</definedName>
    <definedName name="_PP7" localSheetId="4">#REF!</definedName>
    <definedName name="_PP7">#REF!</definedName>
    <definedName name="_PP8" localSheetId="5">#REF!</definedName>
    <definedName name="_PP8" localSheetId="4">#REF!</definedName>
    <definedName name="_PP8">#REF!</definedName>
    <definedName name="_PP9" localSheetId="5">#REF!</definedName>
    <definedName name="_PP9" localSheetId="4">#REF!</definedName>
    <definedName name="_PP9">#REF!</definedName>
    <definedName name="A_impresión_IM" localSheetId="5">#REF!</definedName>
    <definedName name="A_impresión_IM" localSheetId="4">#REF!</definedName>
    <definedName name="A_impresión_IM">#REF!</definedName>
    <definedName name="aas">[2]Insumos!$A$4:$A$1772</definedName>
    <definedName name="ACERO_DE_REFUERZO_60000" localSheetId="5">'[3]Acero de 60.000psi'!$I$53</definedName>
    <definedName name="ACERO_DE_REFUERZO_60000">'[4]Acero de 60.000psi'!$I$53</definedName>
    <definedName name="ACTA" localSheetId="5">'[5]ACTA 01 OBRA'!#REF!</definedName>
    <definedName name="ACTA" localSheetId="4">'[5]ACTA 01 OBRA'!#REF!</definedName>
    <definedName name="ACTA">'[5]ACTA 01 OBRA'!#REF!</definedName>
    <definedName name="ACTIVIDADES" localSheetId="5">#REF!</definedName>
    <definedName name="ACTIVIDADES" localSheetId="4">#REF!</definedName>
    <definedName name="ACTIVIDADES">#REF!</definedName>
    <definedName name="Adm" localSheetId="5">#REF!</definedName>
    <definedName name="Adm" localSheetId="4">#REF!</definedName>
    <definedName name="Adm">#REF!</definedName>
    <definedName name="ADMI" localSheetId="5">#REF!</definedName>
    <definedName name="ADMI" localSheetId="4">#REF!</definedName>
    <definedName name="ADMI">#REF!</definedName>
    <definedName name="aiu" localSheetId="5">#REF!</definedName>
    <definedName name="aiu" localSheetId="4">#REF!</definedName>
    <definedName name="aiu">#REF!</definedName>
    <definedName name="alam" localSheetId="5">#REF!</definedName>
    <definedName name="alam" localSheetId="4">#REF!</definedName>
    <definedName name="alam">#REF!</definedName>
    <definedName name="AMARRE">'[6]LISTA DE MATERIALES'!$D$11</definedName>
    <definedName name="ANTICIPO" localSheetId="5">#REF!</definedName>
    <definedName name="ANTICIPO" localSheetId="4">#REF!</definedName>
    <definedName name="ANTICIPO">#REF!</definedName>
    <definedName name="aplique" localSheetId="5">#REF!</definedName>
    <definedName name="aplique" localSheetId="4">#REF!</definedName>
    <definedName name="aplique">#REF!</definedName>
    <definedName name="_xlnm.Consolidate_Area">#N/A</definedName>
    <definedName name="_xlnm.Print_Area" localSheetId="6">'CALIFICACION PERSONAL'!$A$1:$L$62</definedName>
    <definedName name="_xlnm.Print_Area" localSheetId="5">'CHEQUEO Kr'!$A$1:$AN$186</definedName>
    <definedName name="_xlnm.Print_Area" localSheetId="2">'VERIFICACIÓN TÉCNICA'!$A$1:$H$98</definedName>
    <definedName name="_xlnm.Print_Area" localSheetId="3">VTE!$A$1:$Q$148</definedName>
    <definedName name="_xlnm.Print_Area" localSheetId="4">'VTE PERSONAL'!$A$1:$Q$74</definedName>
    <definedName name="AUI" localSheetId="5">#REF!</definedName>
    <definedName name="AUI" localSheetId="4">#REF!</definedName>
    <definedName name="AUI">#REF!</definedName>
    <definedName name="AyudanteHR">[7]F.Prestacional!$E$10</definedName>
    <definedName name="b" localSheetId="5" hidden="1">[1]PRESUP.!#REF!</definedName>
    <definedName name="b" localSheetId="4" hidden="1">[1]PRESUP.!#REF!</definedName>
    <definedName name="b" hidden="1">[1]PRESUP.!#REF!</definedName>
    <definedName name="base">[8]BaseDatos!$A$2:$F$505</definedName>
    <definedName name="BASICOS" localSheetId="5">#REF!</definedName>
    <definedName name="BASICOS" localSheetId="4">#REF!</definedName>
    <definedName name="BASICOS">#REF!</definedName>
    <definedName name="BB" localSheetId="5" hidden="1">[1]PRESUP.!#REF!</definedName>
    <definedName name="BB" localSheetId="4" hidden="1">[1]PRESUP.!#REF!</definedName>
    <definedName name="BB" hidden="1">[1]PRESUP.!#REF!</definedName>
    <definedName name="BudgetTab" localSheetId="5">#REF!</definedName>
    <definedName name="BudgetTab" localSheetId="4">#REF!</definedName>
    <definedName name="BudgetTab">#REF!</definedName>
    <definedName name="BuiltIn_Print_Area" localSheetId="5">#REF!</definedName>
    <definedName name="BuiltIn_Print_Area" localSheetId="4">#REF!</definedName>
    <definedName name="BuiltIn_Print_Area">#REF!</definedName>
    <definedName name="BuiltIn_Print_Area___2" localSheetId="5">#REF!</definedName>
    <definedName name="BuiltIn_Print_Area___2" localSheetId="4">#REF!</definedName>
    <definedName name="BuiltIn_Print_Area___2">#REF!</definedName>
    <definedName name="BuiltIn_Print_Titles" localSheetId="5">#REF!</definedName>
    <definedName name="BuiltIn_Print_Titles" localSheetId="4">#REF!</definedName>
    <definedName name="BuiltIn_Print_Titles">#REF!</definedName>
    <definedName name="C_" localSheetId="5">#REF!</definedName>
    <definedName name="C_" localSheetId="4">#REF!</definedName>
    <definedName name="C_">#REF!</definedName>
    <definedName name="C_Apus">'[9]1_Preliminares'!$A$26</definedName>
    <definedName name="CAPITULO1" localSheetId="5">#REF!</definedName>
    <definedName name="CAPITULO1" localSheetId="4">#REF!</definedName>
    <definedName name="CAPITULO1">#REF!</definedName>
    <definedName name="CAPITULO10" localSheetId="5">#REF!</definedName>
    <definedName name="CAPITULO10" localSheetId="4">#REF!</definedName>
    <definedName name="CAPITULO10">#REF!</definedName>
    <definedName name="CAPITULO11" localSheetId="5">#REF!</definedName>
    <definedName name="CAPITULO11" localSheetId="4">#REF!</definedName>
    <definedName name="CAPITULO11">#REF!</definedName>
    <definedName name="CAPITULO12" localSheetId="5">#REF!</definedName>
    <definedName name="CAPITULO12" localSheetId="4">#REF!</definedName>
    <definedName name="CAPITULO12">#REF!</definedName>
    <definedName name="CAPITULO13" localSheetId="5">#REF!</definedName>
    <definedName name="CAPITULO13" localSheetId="4">#REF!</definedName>
    <definedName name="CAPITULO13">#REF!</definedName>
    <definedName name="CAPITULO14" localSheetId="5">#REF!</definedName>
    <definedName name="CAPITULO14" localSheetId="4">#REF!</definedName>
    <definedName name="CAPITULO14">#REF!</definedName>
    <definedName name="CAPITULO15" localSheetId="5">#REF!</definedName>
    <definedName name="CAPITULO15" localSheetId="4">#REF!</definedName>
    <definedName name="CAPITULO15">#REF!</definedName>
    <definedName name="CAPITULO16" localSheetId="5">#REF!</definedName>
    <definedName name="CAPITULO16" localSheetId="4">#REF!</definedName>
    <definedName name="CAPITULO16">#REF!</definedName>
    <definedName name="CAPITULO17" localSheetId="5">#REF!</definedName>
    <definedName name="CAPITULO17" localSheetId="4">#REF!</definedName>
    <definedName name="CAPITULO17">#REF!</definedName>
    <definedName name="CAPITULO18" localSheetId="5">#REF!</definedName>
    <definedName name="CAPITULO18" localSheetId="4">#REF!</definedName>
    <definedName name="CAPITULO18">#REF!</definedName>
    <definedName name="CAPITULO19" localSheetId="5">#REF!</definedName>
    <definedName name="CAPITULO19" localSheetId="4">#REF!</definedName>
    <definedName name="CAPITULO19">#REF!</definedName>
    <definedName name="CAPITULO2" localSheetId="5">#REF!</definedName>
    <definedName name="CAPITULO2" localSheetId="4">#REF!</definedName>
    <definedName name="CAPITULO2">#REF!</definedName>
    <definedName name="CAPITULO20" localSheetId="5">#REF!</definedName>
    <definedName name="CAPITULO20" localSheetId="4">#REF!</definedName>
    <definedName name="CAPITULO20">#REF!</definedName>
    <definedName name="CAPITULO21" localSheetId="5">#REF!</definedName>
    <definedName name="CAPITULO21" localSheetId="4">#REF!</definedName>
    <definedName name="CAPITULO21">#REF!</definedName>
    <definedName name="CAPITULO3" localSheetId="5">#REF!</definedName>
    <definedName name="CAPITULO3" localSheetId="4">#REF!</definedName>
    <definedName name="CAPITULO3">#REF!</definedName>
    <definedName name="CAPITULO4" localSheetId="5">#REF!</definedName>
    <definedName name="CAPITULO4" localSheetId="4">#REF!</definedName>
    <definedName name="CAPITULO4">#REF!</definedName>
    <definedName name="CAPITULO5" localSheetId="5">#REF!</definedName>
    <definedName name="CAPITULO5" localSheetId="4">#REF!</definedName>
    <definedName name="CAPITULO5">#REF!</definedName>
    <definedName name="CAPITULO6" localSheetId="5">#REF!</definedName>
    <definedName name="CAPITULO6" localSheetId="4">#REF!</definedName>
    <definedName name="CAPITULO6">#REF!</definedName>
    <definedName name="CAPITULO7" localSheetId="5">#REF!</definedName>
    <definedName name="CAPITULO7" localSheetId="4">#REF!</definedName>
    <definedName name="CAPITULO7">#REF!</definedName>
    <definedName name="CAPITULO8" localSheetId="5">#REF!</definedName>
    <definedName name="CAPITULO8" localSheetId="4">#REF!</definedName>
    <definedName name="CAPITULO8">#REF!</definedName>
    <definedName name="CAPITULO9" localSheetId="5">#REF!</definedName>
    <definedName name="CAPITULO9" localSheetId="4">#REF!</definedName>
    <definedName name="CAPITULO9">#REF!</definedName>
    <definedName name="cc" localSheetId="5" hidden="1">[1]PRESUP.!#REF!</definedName>
    <definedName name="cc" localSheetId="4" hidden="1">[1]PRESUP.!#REF!</definedName>
    <definedName name="cc" hidden="1">[1]PRESUP.!#REF!</definedName>
    <definedName name="ccc" localSheetId="5" hidden="1">[1]PRESUP.!#REF!</definedName>
    <definedName name="ccc" localSheetId="4" hidden="1">[1]PRESUP.!#REF!</definedName>
    <definedName name="ccc" hidden="1">[1]PRESUP.!#REF!</definedName>
    <definedName name="CCTO16" localSheetId="5">#REF!</definedName>
    <definedName name="CCTO16" localSheetId="4">#REF!</definedName>
    <definedName name="CCTO16">#REF!</definedName>
    <definedName name="CCTO17" localSheetId="5">#REF!</definedName>
    <definedName name="CCTO17" localSheetId="4">#REF!</definedName>
    <definedName name="CCTO17">#REF!</definedName>
    <definedName name="CCTO21" localSheetId="5">#REF!</definedName>
    <definedName name="CCTO21" localSheetId="4">#REF!</definedName>
    <definedName name="CCTO21">#REF!</definedName>
    <definedName name="CCTON" localSheetId="5">#REF!</definedName>
    <definedName name="CCTON" localSheetId="4">#REF!</definedName>
    <definedName name="CCTON">#REF!</definedName>
    <definedName name="CDCT">[7]PRESUPUESTO!$A$2</definedName>
    <definedName name="CeldCanti" localSheetId="5">#REF!</definedName>
    <definedName name="CeldCanti" localSheetId="4">#REF!</definedName>
    <definedName name="CeldCanti">#REF!</definedName>
    <definedName name="CELDVRUNIT1" localSheetId="5">#REF!</definedName>
    <definedName name="CELDVRUNIT1" localSheetId="4">#REF!</definedName>
    <definedName name="CELDVRUNIT1">#REF!</definedName>
    <definedName name="CG">[10]ANALISIS!$F$12</definedName>
    <definedName name="CICLOPEO" localSheetId="5">#REF!</definedName>
    <definedName name="CICLOPEO" localSheetId="4">#REF!</definedName>
    <definedName name="CICLOPEO">#REF!</definedName>
    <definedName name="CIndPresup" localSheetId="5">#REF!</definedName>
    <definedName name="CIndPresup" localSheetId="4">#REF!</definedName>
    <definedName name="CIndPresup">#REF!</definedName>
    <definedName name="Ciudades">[11]Insumos!$B$1813:$B$1912</definedName>
    <definedName name="CL" localSheetId="5">#REF!</definedName>
    <definedName name="CL" localSheetId="4">#REF!</definedName>
    <definedName name="CL">#REF!</definedName>
    <definedName name="CÑ">[10]ANALISIS!$F$12</definedName>
    <definedName name="Codigo">[9]Insumos!$A$4:$A$1772</definedName>
    <definedName name="Codigo_M.Obra">[9]M.Obra!$A$35:$A$43</definedName>
    <definedName name="CONCRETO_2000" localSheetId="5">'[3]Concreto de 2000 psi'!$I$53</definedName>
    <definedName name="CONCRETO_2000">'[4]Concreto de 2000 psi'!$I$53</definedName>
    <definedName name="CONJ" localSheetId="5">#REF!</definedName>
    <definedName name="CONJ" localSheetId="4">#REF!</definedName>
    <definedName name="CONJ">#REF!</definedName>
    <definedName name="CONL" localSheetId="5">#REF!</definedName>
    <definedName name="CONL" localSheetId="4">#REF!</definedName>
    <definedName name="CONL">#REF!</definedName>
    <definedName name="CONRES" localSheetId="5">#REF!</definedName>
    <definedName name="CONRES" localSheetId="4">#REF!</definedName>
    <definedName name="CONRES">#REF!</definedName>
    <definedName name="CONSTRUCTOR" localSheetId="5">#REF!</definedName>
    <definedName name="CONSTRUCTOR" localSheetId="4">#REF!</definedName>
    <definedName name="CONSTRUCTOR">#REF!</definedName>
    <definedName name="contratista">[10]ANALISIS!$F$45</definedName>
    <definedName name="CONTREC" localSheetId="5">#REF!</definedName>
    <definedName name="CONTREC" localSheetId="4">#REF!</definedName>
    <definedName name="CONTREC">#REF!</definedName>
    <definedName name="COSTIND" localSheetId="5">#REF!</definedName>
    <definedName name="COSTIND" localSheetId="4">#REF!</definedName>
    <definedName name="COSTIND">#REF!</definedName>
    <definedName name="CR" localSheetId="5">#REF!</definedName>
    <definedName name="CR" localSheetId="4">#REF!</definedName>
    <definedName name="CR">#REF!</definedName>
    <definedName name="Cuadrillas">[12]Cuadrillas!$A$11:$I$77</definedName>
    <definedName name="CUÑASJ" localSheetId="5">#REF!</definedName>
    <definedName name="CUÑASJ" localSheetId="4">#REF!</definedName>
    <definedName name="CUÑASJ">#REF!</definedName>
    <definedName name="Descrip_cuadrillas">[12]Cuadrillas!$A$15:$A$77</definedName>
    <definedName name="Descrip_equipos">[12]Equ!$A$15:$A$102</definedName>
    <definedName name="Descrip_transporte">[12]Trans!$A$18:$A$65</definedName>
    <definedName name="Descripción">[12]Mat!$A$11:$A$1041</definedName>
    <definedName name="DescripPpto" localSheetId="5">#REF!</definedName>
    <definedName name="DescripPpto" localSheetId="4">#REF!</definedName>
    <definedName name="DescripPpto">#REF!</definedName>
    <definedName name="ELECTRICA" localSheetId="5">'[13]3.PRESUP. ELECTRICO'!$A$4:$G$212</definedName>
    <definedName name="ELECTRICA">'[14]3.PRESUP. ELECTRICO'!$A$4:$G$212</definedName>
    <definedName name="emergencia" localSheetId="5" hidden="1">[1]PRESUP.!#REF!</definedName>
    <definedName name="emergencia" localSheetId="4" hidden="1">[1]PRESUP.!#REF!</definedName>
    <definedName name="emergencia" hidden="1">[1]PRESUP.!#REF!</definedName>
    <definedName name="EQUI">[15]EQUIPO!$B$2:$B$36</definedName>
    <definedName name="equipo">[16]Equipo!$A$7:$A$65536</definedName>
    <definedName name="EQUIPO_1">[15]EQUIPO!$B$2:$D$36</definedName>
    <definedName name="EQUIPO_2">[17]Equipo!$A$7:$A$65536</definedName>
    <definedName name="EQUIPOS" localSheetId="5">[3]Equipo!$A$16:$G$79</definedName>
    <definedName name="EQUIPOS">[4]Equipo!$A$16:$G$79</definedName>
    <definedName name="ER" localSheetId="5">#REF!</definedName>
    <definedName name="ER" localSheetId="4">#REF!</definedName>
    <definedName name="ER">#REF!</definedName>
    <definedName name="Export" localSheetId="6" hidden="1">{"'Hoja1'!$A$1:$I$70"}</definedName>
    <definedName name="Export" localSheetId="5" hidden="1">{"'Hoja1'!$A$1:$I$70"}</definedName>
    <definedName name="Export" localSheetId="8" hidden="1">{"'Hoja1'!$A$1:$I$70"}</definedName>
    <definedName name="Export" localSheetId="2" hidden="1">{"'Hoja1'!$A$1:$I$70"}</definedName>
    <definedName name="Export" hidden="1">{"'Hoja1'!$A$1:$I$70"}</definedName>
    <definedName name="FFFFF">'[18]LISTA DE MATERIALES'!$D$11</definedName>
    <definedName name="FinPpto" localSheetId="5">#REF!</definedName>
    <definedName name="FinPpto" localSheetId="4">#REF!</definedName>
    <definedName name="FinPpto">#REF!</definedName>
    <definedName name="FORMALETA" localSheetId="5">#REF!</definedName>
    <definedName name="FORMALETA" localSheetId="4">#REF!</definedName>
    <definedName name="FORMALETA">#REF!</definedName>
    <definedName name="FormLinPresup" localSheetId="5">#REF!</definedName>
    <definedName name="FormLinPresup" localSheetId="4">#REF!</definedName>
    <definedName name="FormLinPresup">#REF!</definedName>
    <definedName name="formula" localSheetId="6">'[19]VERIFICACION TECNICA'!$A$34:$B$37</definedName>
    <definedName name="formula" localSheetId="5">#REF!</definedName>
    <definedName name="formula" localSheetId="8">'[20]VERIFICACION TECNICA'!$A$34:$B$37</definedName>
    <definedName name="formula" localSheetId="2">'VERIFICACIÓN TÉCNICA'!$A$60:$B$63</definedName>
    <definedName name="formula" localSheetId="4">#REF!</definedName>
    <definedName name="formula">#REF!</definedName>
    <definedName name="GACETA" localSheetId="5">#REF!</definedName>
    <definedName name="GACETA" localSheetId="4">#REF!</definedName>
    <definedName name="GACETA">#REF!</definedName>
    <definedName name="gfr" localSheetId="5">#REF!</definedName>
    <definedName name="gfr" localSheetId="4">#REF!</definedName>
    <definedName name="gfr">#REF!</definedName>
    <definedName name="GUADUA">'[6]LISTA DE MATERIALES'!$D$49</definedName>
    <definedName name="HERRMENOR">'[6]LISTA DE MATERIALES'!$D$50</definedName>
    <definedName name="HTML_CodePage" hidden="1">1252</definedName>
    <definedName name="HTML_Control" localSheetId="6" hidden="1">{"'Hoja1'!$A$1:$I$70"}</definedName>
    <definedName name="HTML_Control" localSheetId="5" hidden="1">{"'Hoja1'!$A$1:$I$70"}</definedName>
    <definedName name="HTML_Control" localSheetId="8"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localSheetId="5" hidden="1">[1]PRESUP.!#REF!</definedName>
    <definedName name="i" localSheetId="4" hidden="1">[1]PRESUP.!#REF!</definedName>
    <definedName name="i" hidden="1">[1]PRESUP.!#REF!</definedName>
    <definedName name="iii" localSheetId="5" hidden="1">[1]PRESUP.!#REF!</definedName>
    <definedName name="iii" localSheetId="4" hidden="1">[1]PRESUP.!#REF!</definedName>
    <definedName name="iii" hidden="1">[1]PRESUP.!#REF!</definedName>
    <definedName name="IMPRE" localSheetId="5">#REF!</definedName>
    <definedName name="IMPRE" localSheetId="4">#REF!</definedName>
    <definedName name="IMPRE">#REF!</definedName>
    <definedName name="Imprev" localSheetId="5">#REF!</definedName>
    <definedName name="Imprev" localSheetId="4">#REF!</definedName>
    <definedName name="Imprev">#REF!</definedName>
    <definedName name="inf" localSheetId="5">#REF!</definedName>
    <definedName name="inf" localSheetId="4">#REF!</definedName>
    <definedName name="inf">#REF!</definedName>
    <definedName name="INICIA" localSheetId="5">#REF!</definedName>
    <definedName name="INICIA" localSheetId="4">#REF!</definedName>
    <definedName name="INICIA">#REF!</definedName>
    <definedName name="INICIOPPTO" localSheetId="5">#REF!</definedName>
    <definedName name="INICIOPPTO" localSheetId="4">#REF!</definedName>
    <definedName name="INICIOPPTO">#REF!</definedName>
    <definedName name="Instalacion" localSheetId="5">#REF!</definedName>
    <definedName name="Instalacion" localSheetId="4">#REF!</definedName>
    <definedName name="Instalacion">#REF!</definedName>
    <definedName name="Insumos" localSheetId="5">#REF!</definedName>
    <definedName name="Insumos" localSheetId="4">#REF!</definedName>
    <definedName name="Insumos">#REF!</definedName>
    <definedName name="INTERVENTOR" localSheetId="5">#REF!</definedName>
    <definedName name="INTERVENTOR" localSheetId="4">#REF!</definedName>
    <definedName name="INTERVENTOR">#REF!</definedName>
    <definedName name="item" localSheetId="5">#REF!</definedName>
    <definedName name="item" localSheetId="4">#REF!</definedName>
    <definedName name="item">#REF!</definedName>
    <definedName name="IVA" localSheetId="5">#REF!</definedName>
    <definedName name="IVA" localSheetId="4">#REF!</definedName>
    <definedName name="IVA">#REF!</definedName>
    <definedName name="IvaSUtl" localSheetId="5">#REF!</definedName>
    <definedName name="IvaSUtl" localSheetId="4">#REF!</definedName>
    <definedName name="IvaSUtl">#REF!</definedName>
    <definedName name="j" localSheetId="5">#REF!</definedName>
    <definedName name="j" localSheetId="4">#REF!</definedName>
    <definedName name="j">#REF!</definedName>
    <definedName name="JU" localSheetId="5">#REF!</definedName>
    <definedName name="JU" localSheetId="4">#REF!</definedName>
    <definedName name="JU">#REF!</definedName>
    <definedName name="KIU">[9]Presup_Cancha!$J$15:$J$20</definedName>
    <definedName name="l">[21]Insumos!$A$4:$A$1761</definedName>
    <definedName name="L_" localSheetId="5">#REF!</definedName>
    <definedName name="L_" localSheetId="4">#REF!</definedName>
    <definedName name="L_">#REF!</definedName>
    <definedName name="LineaPresup" localSheetId="5">#REF!</definedName>
    <definedName name="LineaPresup" localSheetId="4">#REF!</definedName>
    <definedName name="LineaPresup">#REF!</definedName>
    <definedName name="List_cuadrillas">[12]Salarios!$D$8:$P$8</definedName>
    <definedName name="LISTADOEQUIPOS" localSheetId="5">[3]Equipo!$A$16:$A$80</definedName>
    <definedName name="LISTADOEQUIPOS">[4]Equipo!$A$16:$A$80</definedName>
    <definedName name="LISTADOMATERIALES" localSheetId="5">[3]Material!$A$11:$A$1009</definedName>
    <definedName name="LISTADOMATERIALES">[4]Material!$A$11:$A$1009</definedName>
    <definedName name="LISTADOMO" localSheetId="5">[3]M.Obra!$A$21:$A$50</definedName>
    <definedName name="LISTADOMO">[4]M.Obra!$A$21:$A$50</definedName>
    <definedName name="LISTADOTRANSPORTES" localSheetId="5">[3]Transp.!$A$16:$A$50</definedName>
    <definedName name="LISTADOTRANSPORTES">[4]Transp.!$A$16:$A$50</definedName>
    <definedName name="ll" localSheetId="5">[12]PRESUPUESTO!#REF!</definedName>
    <definedName name="ll" localSheetId="4">[12]PRESUPUESTO!#REF!</definedName>
    <definedName name="ll">[12]PRESUPUESTO!#REF!</definedName>
    <definedName name="M.O">[9]M.Obra!$B$35:$B$42</definedName>
    <definedName name="MANODEOBRA" localSheetId="5">[3]M.Obra!$A$21:$I$50</definedName>
    <definedName name="MANODEOBRA">[4]M.Obra!$A$21:$I$50</definedName>
    <definedName name="MATER">[15]MATERIAL!$B$3:$B$580</definedName>
    <definedName name="materiales">[16]materiales!$A$7:$A$1317</definedName>
    <definedName name="MATERIALES_2">[17]materiales!$A$7:$A$1317</definedName>
    <definedName name="MI" localSheetId="5">#REF!,#REF!,#REF!,#REF!,#REF!,#REF!,#REF!</definedName>
    <definedName name="MI" localSheetId="4">#REF!,#REF!,#REF!,#REF!,#REF!,#REF!,#REF!</definedName>
    <definedName name="MI">#REF!,#REF!,#REF!,#REF!,#REF!,#REF!,#REF!</definedName>
    <definedName name="ML" localSheetId="5">#REF!,#REF!,#REF!,#REF!,#REF!,#REF!,#REF!</definedName>
    <definedName name="ML" localSheetId="4">#REF!,#REF!,#REF!,#REF!,#REF!,#REF!,#REF!</definedName>
    <definedName name="ML">#REF!,#REF!,#REF!,#REF!,#REF!,#REF!,#REF!</definedName>
    <definedName name="MOCERRPOLISOMBRA">'[6]MANO DE OBRA'!$D$9</definedName>
    <definedName name="MOLOCALIZYREP">'[6]MANO DE OBRA'!$D$38</definedName>
    <definedName name="MORTERO" localSheetId="5">#REF!</definedName>
    <definedName name="MORTERO" localSheetId="4">#REF!</definedName>
    <definedName name="MORTERO">#REF!</definedName>
    <definedName name="MORTERO24" localSheetId="5">#REF!</definedName>
    <definedName name="MORTERO24" localSheetId="4">#REF!</definedName>
    <definedName name="MORTERO24">#REF!</definedName>
    <definedName name="NI" localSheetId="5">#REF!</definedName>
    <definedName name="NI" localSheetId="4">#REF!</definedName>
    <definedName name="NI">#REF!</definedName>
    <definedName name="ninguno" localSheetId="5">#REF!</definedName>
    <definedName name="ninguno" localSheetId="4">#REF!</definedName>
    <definedName name="ninguno">#REF!</definedName>
    <definedName name="NVOCD">[7]INSUMOS!$P$6</definedName>
    <definedName name="OBRA_CIVIL" localSheetId="5">'[13]2.PRESUPUESTO OBRA CIVIL'!$A$4:$G$224</definedName>
    <definedName name="OBRA_CIVIL">'[14]2.PRESUPUESTO OBRA CIVIL'!$A$4:$G$224</definedName>
    <definedName name="OficialHR">[7]F.Prestacional!$G$10</definedName>
    <definedName name="otros">[16]otros!$A$6:$A$1235</definedName>
    <definedName name="OTROS_2">[17]otros!$A$6:$A$1235</definedName>
    <definedName name="P0" localSheetId="5">#REF!</definedName>
    <definedName name="P0" localSheetId="4">#REF!</definedName>
    <definedName name="P0">#REF!</definedName>
    <definedName name="PA" localSheetId="5">[12]PRESUPUESTO!#REF!</definedName>
    <definedName name="PA" localSheetId="4">[12]PRESUPUESTO!#REF!</definedName>
    <definedName name="PA">[12]PRESUPUESTO!#REF!</definedName>
    <definedName name="pasamanos" localSheetId="5">#REF!</definedName>
    <definedName name="pasamanos" localSheetId="4">#REF!</definedName>
    <definedName name="pasamanos">#REF!</definedName>
    <definedName name="PB" localSheetId="5">[12]PRESUPUESTO!#REF!</definedName>
    <definedName name="PB" localSheetId="4">[12]PRESUPUESTO!#REF!</definedName>
    <definedName name="PB">[12]PRESUPUESTO!#REF!</definedName>
    <definedName name="PC" localSheetId="5">[12]PRESUPUESTO!#REF!</definedName>
    <definedName name="PC" localSheetId="4">[12]PRESUPUESTO!#REF!</definedName>
    <definedName name="PC">[12]PRESUPUESTO!#REF!</definedName>
    <definedName name="PE" localSheetId="5">[12]PRESUPUESTO!#REF!</definedName>
    <definedName name="PE" localSheetId="4">[12]PRESUPUESTO!#REF!</definedName>
    <definedName name="PE">[12]PRESUPUESTO!#REF!</definedName>
    <definedName name="PL" localSheetId="5">[12]PRESUPUESTO!#REF!</definedName>
    <definedName name="PL" localSheetId="4">[12]PRESUPUESTO!#REF!</definedName>
    <definedName name="PL">[12]PRESUPUESTO!#REF!</definedName>
    <definedName name="PLAZO" localSheetId="5">#REF!</definedName>
    <definedName name="PLAZO" localSheetId="4">#REF!</definedName>
    <definedName name="PLAZO">#REF!</definedName>
    <definedName name="Plegable" localSheetId="5">#REF!</definedName>
    <definedName name="Plegable" localSheetId="4">#REF!</definedName>
    <definedName name="Plegable">#REF!</definedName>
    <definedName name="po" localSheetId="5">#REF!</definedName>
    <definedName name="po" localSheetId="4">#REF!</definedName>
    <definedName name="po">#REF!</definedName>
    <definedName name="POLISOMBRA">'[6]LISTA DE MATERIALES'!$D$78</definedName>
    <definedName name="PRECIOS" localSheetId="5">#REF!</definedName>
    <definedName name="PRECIOS" localSheetId="4">#REF!</definedName>
    <definedName name="PRECIOS">#REF!</definedName>
    <definedName name="PROGRAMA" localSheetId="5">'[22]Planes Validar'!$B$2:$B$7</definedName>
    <definedName name="PROGRAMA">'[23]Planes Validar'!$B$2:$B$7</definedName>
    <definedName name="PUESTA" localSheetId="5" hidden="1">[1]PRESUP.!#REF!</definedName>
    <definedName name="PUESTA" localSheetId="4" hidden="1">[1]PRESUP.!#REF!</definedName>
    <definedName name="PUESTA" hidden="1">[1]PRESUP.!#REF!</definedName>
    <definedName name="PUNTILLA2">'[6]LISTA DE MATERIALES'!$D$82</definedName>
    <definedName name="q" localSheetId="5">#REF!</definedName>
    <definedName name="q" localSheetId="4">#REF!</definedName>
    <definedName name="q">#REF!</definedName>
    <definedName name="q_t_" localSheetId="5">#REF!</definedName>
    <definedName name="q_t_" localSheetId="4">#REF!</definedName>
    <definedName name="q_t_">#REF!</definedName>
    <definedName name="q0" localSheetId="5">#REF!</definedName>
    <definedName name="q0" localSheetId="4">#REF!</definedName>
    <definedName name="q0">#REF!</definedName>
    <definedName name="R_" localSheetId="5">#REF!</definedName>
    <definedName name="R_" localSheetId="4">#REF!</definedName>
    <definedName name="R_">#REF!</definedName>
    <definedName name="RCindPresup" localSheetId="5">#REF!</definedName>
    <definedName name="RCindPresup" localSheetId="4">#REF!</definedName>
    <definedName name="RCindPresup">#REF!</definedName>
    <definedName name="RECCUN" localSheetId="5">#REF!</definedName>
    <definedName name="RECCUN" localSheetId="4">#REF!</definedName>
    <definedName name="RECCUN">#REF!</definedName>
    <definedName name="ResEquipo" localSheetId="5">#REF!</definedName>
    <definedName name="ResEquipo" localSheetId="4">#REF!</definedName>
    <definedName name="ResEquipo">#REF!</definedName>
    <definedName name="ResMateriales" localSheetId="5">#REF!</definedName>
    <definedName name="ResMateriales" localSheetId="4">#REF!</definedName>
    <definedName name="ResMateriales">#REF!</definedName>
    <definedName name="ResMO" localSheetId="5">#REF!</definedName>
    <definedName name="ResMO" localSheetId="4">#REF!</definedName>
    <definedName name="ResMO">#REF!</definedName>
    <definedName name="ResOtros" localSheetId="5">#REF!</definedName>
    <definedName name="ResOtros" localSheetId="4">#REF!</definedName>
    <definedName name="ResOtros">#REF!</definedName>
    <definedName name="resumenlicit" localSheetId="5">#REF!</definedName>
    <definedName name="resumenlicit" localSheetId="4">#REF!</definedName>
    <definedName name="resumenlicit">#REF!</definedName>
    <definedName name="ResUnit_CD" localSheetId="5">#REF!</definedName>
    <definedName name="ResUnit_CD" localSheetId="4">#REF!</definedName>
    <definedName name="ResUnit_CD">#REF!</definedName>
    <definedName name="rrrr" localSheetId="5">#REF!</definedName>
    <definedName name="rrrr" localSheetId="4">#REF!</definedName>
    <definedName name="rrrr">#REF!</definedName>
    <definedName name="s" localSheetId="5">#REF!</definedName>
    <definedName name="s" localSheetId="4">#REF!</definedName>
    <definedName name="s">#REF!</definedName>
    <definedName name="SA" localSheetId="5">[12]PRESUPUESTO!#REF!</definedName>
    <definedName name="SA" localSheetId="4">[12]PRESUPUESTO!#REF!</definedName>
    <definedName name="SA">[12]PRESUPUESTO!#REF!</definedName>
    <definedName name="Salarios" localSheetId="5">#REF!</definedName>
    <definedName name="Salarios" localSheetId="4">#REF!</definedName>
    <definedName name="Salarios">#REF!</definedName>
    <definedName name="SB" localSheetId="5">[12]PRESUPUESTO!#REF!</definedName>
    <definedName name="SB" localSheetId="4">[12]PRESUPUESTO!#REF!</definedName>
    <definedName name="SB">[12]PRESUPUESTO!#REF!</definedName>
    <definedName name="SbtPpto" localSheetId="5">#REF!</definedName>
    <definedName name="SbtPpto" localSheetId="4">#REF!</definedName>
    <definedName name="SbtPpto">#REF!</definedName>
    <definedName name="SC" localSheetId="5">[12]PRESUPUESTO!#REF!</definedName>
    <definedName name="SC" localSheetId="4">[12]PRESUPUESTO!#REF!</definedName>
    <definedName name="SC">[12]PRESUPUESTO!#REF!</definedName>
    <definedName name="SE" localSheetId="5">[12]PRESUPUESTO!#REF!</definedName>
    <definedName name="SE" localSheetId="4">[12]PRESUPUESTO!#REF!</definedName>
    <definedName name="SE">[12]PRESUPUESTO!#REF!</definedName>
    <definedName name="SELECCION" localSheetId="5">[22]Soluciones!$B$7</definedName>
    <definedName name="SELECCION">[23]Soluciones!$B$7</definedName>
    <definedName name="SG" localSheetId="5">[10]ANALISIS!#REF!</definedName>
    <definedName name="SG" localSheetId="4">[10]ANALISIS!#REF!</definedName>
    <definedName name="SG">[10]ANALISIS!#REF!</definedName>
    <definedName name="SL" localSheetId="5">#REF!</definedName>
    <definedName name="SL" localSheetId="4">#REF!</definedName>
    <definedName name="SL">#REF!</definedName>
    <definedName name="SOLADO" localSheetId="5">#REF!</definedName>
    <definedName name="SOLADO" localSheetId="4">#REF!</definedName>
    <definedName name="SOLADO">#REF!</definedName>
    <definedName name="SR" localSheetId="5">#REF!</definedName>
    <definedName name="SR" localSheetId="4">#REF!</definedName>
    <definedName name="SR">#REF!</definedName>
    <definedName name="SUBPRODUCTOS" localSheetId="5">#REF!</definedName>
    <definedName name="SUBPRODUCTOS" localSheetId="4">#REF!</definedName>
    <definedName name="SUBPRODUCTOS">#REF!</definedName>
    <definedName name="SUBTOTAL" localSheetId="5">#REF!</definedName>
    <definedName name="SUBTOTAL" localSheetId="4">#REF!</definedName>
    <definedName name="SUBTOTAL">#REF!</definedName>
    <definedName name="SUBTOTALMAT">'[12]2,2,6,1 Pilotes 0,30'!$I$19</definedName>
    <definedName name="sumideros" localSheetId="5">[10]ANALISIS!#REF!</definedName>
    <definedName name="sumideros" localSheetId="4">[10]ANALISIS!#REF!</definedName>
    <definedName name="sumideros">[10]ANALISIS!#REF!</definedName>
    <definedName name="SUMJ" localSheetId="5">#REF!</definedName>
    <definedName name="SUMJ" localSheetId="4">#REF!</definedName>
    <definedName name="SUMJ">#REF!</definedName>
    <definedName name="Summary" localSheetId="5">#REF!</definedName>
    <definedName name="Summary" localSheetId="4">#REF!</definedName>
    <definedName name="Summary">#REF!</definedName>
    <definedName name="SUNREC" localSheetId="5">#REF!</definedName>
    <definedName name="SUNREC" localSheetId="4">#REF!</definedName>
    <definedName name="SUNREC">#REF!</definedName>
    <definedName name="t_" localSheetId="5">#REF!</definedName>
    <definedName name="t_" localSheetId="4">#REF!</definedName>
    <definedName name="t_">#REF!</definedName>
    <definedName name="TA" localSheetId="5">[12]PRESUPUESTO!#REF!</definedName>
    <definedName name="TA" localSheetId="4">[12]PRESUPUESTO!#REF!</definedName>
    <definedName name="TA">[12]PRESUPUESTO!#REF!</definedName>
    <definedName name="TB" localSheetId="5">[12]PRESUPUESTO!#REF!</definedName>
    <definedName name="TB" localSheetId="4">[12]PRESUPUESTO!#REF!</definedName>
    <definedName name="TB">[12]PRESUPUESTO!#REF!</definedName>
    <definedName name="TC" localSheetId="5">[12]PRESUPUESTO!#REF!</definedName>
    <definedName name="TC" localSheetId="4">[12]PRESUPUESTO!#REF!</definedName>
    <definedName name="TC">[12]PRESUPUESTO!#REF!</definedName>
    <definedName name="TE" localSheetId="5">[12]PRESUPUESTO!#REF!</definedName>
    <definedName name="TE" localSheetId="4">[12]PRESUPUESTO!#REF!</definedName>
    <definedName name="TE">[12]PRESUPUESTO!#REF!</definedName>
    <definedName name="Títulos">'[24]062'!$A$1:$G$7</definedName>
    <definedName name="_xlnm.Print_Titles" localSheetId="6">'CALIFICACION PERSONAL'!$A:$B,'CALIFICACION PERSONAL'!$1:$11</definedName>
    <definedName name="_xlnm.Print_Titles" localSheetId="2">'VERIFICACIÓN TÉCNICA'!$A:$B,'VERIFICACIÓN TÉCNICA'!$1:$11</definedName>
    <definedName name="_xlnm.Print_Titles" localSheetId="3">VTE!$A:$E,VTE!$1:$18</definedName>
    <definedName name="_xlnm.Print_Titles" localSheetId="4">'VTE PERSONAL'!$A:$E,'VTE PERSONAL'!$1:$10</definedName>
    <definedName name="TL" localSheetId="5">[12]PRESUPUESTO!#REF!</definedName>
    <definedName name="TL" localSheetId="4">[12]PRESUPUESTO!#REF!</definedName>
    <definedName name="TL">[12]PRESUPUESTO!#REF!</definedName>
    <definedName name="TOT" localSheetId="5">#REF!</definedName>
    <definedName name="TOT" localSheetId="4">#REF!</definedName>
    <definedName name="TOT">#REF!</definedName>
    <definedName name="TotalAIU">[7]PRESUPUESTO!$F$26</definedName>
    <definedName name="Transporte">[12]Trans!$A$12:$I$65</definedName>
    <definedName name="TTA" localSheetId="5">[12]PRESUPUESTO!#REF!</definedName>
    <definedName name="TTA" localSheetId="4">[12]PRESUPUESTO!#REF!</definedName>
    <definedName name="TTA">[12]PRESUPUESTO!#REF!</definedName>
    <definedName name="TTB" localSheetId="5">[12]PRESUPUESTO!#REF!</definedName>
    <definedName name="TTB" localSheetId="4">[12]PRESUPUESTO!#REF!</definedName>
    <definedName name="TTB">[12]PRESUPUESTO!#REF!</definedName>
    <definedName name="TTC" localSheetId="5">[12]PRESUPUESTO!#REF!</definedName>
    <definedName name="TTC" localSheetId="4">[12]PRESUPUESTO!#REF!</definedName>
    <definedName name="TTC">[12]PRESUPUESTO!#REF!</definedName>
    <definedName name="TTE" localSheetId="5">[12]PRESUPUESTO!#REF!</definedName>
    <definedName name="TTE" localSheetId="4">[12]PRESUPUESTO!#REF!</definedName>
    <definedName name="TTE">[12]PRESUPUESTO!#REF!</definedName>
    <definedName name="TTL" localSheetId="5">[12]PRESUPUESTO!#REF!</definedName>
    <definedName name="TTL" localSheetId="4">[12]PRESUPUESTO!#REF!</definedName>
    <definedName name="TTL">[12]PRESUPUESTO!#REF!</definedName>
    <definedName name="TtlCD" localSheetId="5">#REF!</definedName>
    <definedName name="TtlCD" localSheetId="4">#REF!</definedName>
    <definedName name="TtlCD">#REF!</definedName>
    <definedName name="TtlCDCronog">[7]CRONOGRAMA!$G$21</definedName>
    <definedName name="Unidades" localSheetId="5">#REF!</definedName>
    <definedName name="Unidades" localSheetId="4">#REF!</definedName>
    <definedName name="Unidades">#REF!</definedName>
    <definedName name="UNIT" localSheetId="5">#REF!</definedName>
    <definedName name="UNIT" localSheetId="4">#REF!</definedName>
    <definedName name="UNIT">#REF!</definedName>
    <definedName name="UTIL" localSheetId="5">#REF!</definedName>
    <definedName name="UTIL" localSheetId="4">#REF!</definedName>
    <definedName name="UTIL">#REF!</definedName>
    <definedName name="Utilidad" localSheetId="5">#REF!</definedName>
    <definedName name="Utilidad" localSheetId="4">#REF!</definedName>
    <definedName name="Utilidad">#REF!</definedName>
    <definedName name="VACUMULADO" localSheetId="5">#REF!</definedName>
    <definedName name="VACUMULADO" localSheetId="4">#REF!</definedName>
    <definedName name="VACUMULADO">#REF!</definedName>
    <definedName name="VALOR1" localSheetId="5">#REF!</definedName>
    <definedName name="VALOR1" localSheetId="4">#REF!</definedName>
    <definedName name="VALOR1">#REF!</definedName>
    <definedName name="VALOR2" localSheetId="5">#REF!</definedName>
    <definedName name="VALOR2" localSheetId="4">#REF!</definedName>
    <definedName name="VALOR2">#REF!</definedName>
    <definedName name="vcontrato" localSheetId="5">#REF!</definedName>
    <definedName name="vcontrato" localSheetId="4">#REF!</definedName>
    <definedName name="vcontrato">#REF!</definedName>
    <definedName name="VENCIMIENTO" localSheetId="5">#REF!</definedName>
    <definedName name="VENCIMIENTO" localSheetId="4">#REF!</definedName>
    <definedName name="VENCIMIENTO">#REF!</definedName>
    <definedName name="VRTTLPPTO">[7]PRESUPUESTO!$G$28</definedName>
    <definedName name="VRTTLUNDS" localSheetId="5">#REF!</definedName>
    <definedName name="VRTTLUNDS" localSheetId="4">#REF!</definedName>
    <definedName name="VRTTLUNDS">#REF!</definedName>
    <definedName name="VrUtilidad" localSheetId="5">#REF!</definedName>
    <definedName name="VrUtilidad" localSheetId="4">#REF!</definedName>
    <definedName name="VrUtilidad">#REF!</definedName>
    <definedName name="W">[25]Mat!$A$11:$A$1041</definedName>
    <definedName name="X" localSheetId="5">#REF!</definedName>
    <definedName name="X" localSheetId="4">#REF!</definedName>
    <definedName name="X">#REF!</definedName>
    <definedName name="XXX">'[18]MANO DE OBRA'!$D$38</definedName>
    <definedName name="Y" localSheetId="5">#REF!</definedName>
    <definedName name="Y" localSheetId="4">#REF!</definedName>
    <definedName name="Y">#REF!</definedName>
    <definedName name="YA" localSheetId="5">#REF!</definedName>
    <definedName name="YA" localSheetId="4">#REF!</definedName>
    <definedName name="Y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A99" i="73" l="1"/>
  <c r="AA98" i="73"/>
  <c r="AH48" i="73"/>
  <c r="AH49" i="73"/>
  <c r="AH50" i="73"/>
  <c r="AH51" i="73"/>
  <c r="AH52" i="73"/>
  <c r="AH53" i="73"/>
  <c r="AA49" i="73" l="1"/>
  <c r="AA53" i="73"/>
  <c r="AH47" i="73"/>
  <c r="AA43" i="73"/>
  <c r="AA41" i="73"/>
  <c r="AA40" i="73"/>
  <c r="AA39" i="73"/>
  <c r="AA38" i="73"/>
  <c r="AA37" i="73"/>
  <c r="AA36" i="73"/>
  <c r="AA35" i="73"/>
  <c r="AA34" i="73"/>
  <c r="AA33" i="73"/>
  <c r="AA32" i="73"/>
  <c r="AA31" i="73"/>
  <c r="AA30" i="73"/>
  <c r="AA29" i="73"/>
  <c r="AH30" i="73"/>
  <c r="AH31" i="73"/>
  <c r="AH32" i="73"/>
  <c r="AH33" i="73"/>
  <c r="AH34" i="73"/>
  <c r="AH35" i="73"/>
  <c r="AH36" i="73"/>
  <c r="AH37" i="73"/>
  <c r="AH38" i="73"/>
  <c r="AH39" i="73"/>
  <c r="AH40" i="73"/>
  <c r="AH41" i="73"/>
  <c r="AH42" i="73"/>
  <c r="AH43" i="73"/>
  <c r="AH44" i="73"/>
  <c r="AH29" i="73"/>
  <c r="D15" i="33"/>
  <c r="O125" i="33" l="1"/>
  <c r="P125" i="33" s="1"/>
  <c r="K125" i="33"/>
  <c r="G125" i="33"/>
  <c r="H125" i="33" s="1"/>
  <c r="O113" i="33"/>
  <c r="P113" i="33" s="1"/>
  <c r="K113" i="33"/>
  <c r="L113" i="33" s="1"/>
  <c r="G113" i="33"/>
  <c r="H113" i="33" s="1"/>
  <c r="O101" i="33"/>
  <c r="P101" i="33" s="1"/>
  <c r="K101" i="33"/>
  <c r="L101" i="33" s="1"/>
  <c r="G101" i="33"/>
  <c r="H101" i="33" s="1"/>
  <c r="AG101" i="73"/>
  <c r="AI102" i="73"/>
  <c r="AJ102" i="73" s="1"/>
  <c r="AI101" i="73"/>
  <c r="AJ101" i="73" s="1"/>
  <c r="AG100" i="73"/>
  <c r="AI99" i="73"/>
  <c r="AJ99" i="73" s="1"/>
  <c r="AG99" i="73"/>
  <c r="AI98" i="73"/>
  <c r="AJ98" i="73" s="1"/>
  <c r="AG98" i="73"/>
  <c r="AI88" i="73"/>
  <c r="AJ88" i="73" s="1"/>
  <c r="AI90" i="73"/>
  <c r="AI91" i="73"/>
  <c r="AI89" i="73"/>
  <c r="L125" i="33" l="1"/>
  <c r="K17" i="33"/>
  <c r="AG102" i="73"/>
  <c r="AI100" i="73"/>
  <c r="AJ100" i="73" s="1"/>
  <c r="AG142" i="73" l="1"/>
  <c r="AI146" i="73"/>
  <c r="AJ146" i="73" s="1"/>
  <c r="AI142" i="73"/>
  <c r="AH133" i="73"/>
  <c r="AI133" i="73" s="1"/>
  <c r="AH134" i="73"/>
  <c r="AI134" i="73" s="1"/>
  <c r="AJ134" i="73" s="1"/>
  <c r="AH135" i="73"/>
  <c r="AI135" i="73" s="1"/>
  <c r="AJ135" i="73" s="1"/>
  <c r="AH136" i="73"/>
  <c r="AI136" i="73" s="1"/>
  <c r="AJ136" i="73" s="1"/>
  <c r="AH137" i="73"/>
  <c r="AI137" i="73" s="1"/>
  <c r="AJ137" i="73" s="1"/>
  <c r="AH138" i="73"/>
  <c r="AI138" i="73" s="1"/>
  <c r="AJ138" i="73" s="1"/>
  <c r="AH139" i="73"/>
  <c r="AI139" i="73" s="1"/>
  <c r="AJ139" i="73" s="1"/>
  <c r="AG146" i="73" l="1"/>
  <c r="O29" i="33" l="1"/>
  <c r="H22" i="57"/>
  <c r="F22" i="57"/>
  <c r="D22" i="57"/>
  <c r="E21" i="57"/>
  <c r="C21" i="57"/>
  <c r="P13" i="33"/>
  <c r="O55" i="74" l="1"/>
  <c r="P55" i="74" s="1"/>
  <c r="K55" i="74"/>
  <c r="L55" i="74" s="1"/>
  <c r="G55" i="74"/>
  <c r="H55" i="74" s="1"/>
  <c r="O48" i="74"/>
  <c r="P48" i="74" s="1"/>
  <c r="K48" i="74"/>
  <c r="L48" i="74" s="1"/>
  <c r="O41" i="74"/>
  <c r="P41" i="74" s="1"/>
  <c r="K41" i="74"/>
  <c r="G41" i="74"/>
  <c r="H41" i="74" s="1"/>
  <c r="O32" i="74"/>
  <c r="P32" i="74" s="1"/>
  <c r="K32" i="74"/>
  <c r="L32" i="74" s="1"/>
  <c r="G32" i="74"/>
  <c r="H32" i="74" s="1"/>
  <c r="O18" i="74"/>
  <c r="K18" i="74"/>
  <c r="L18" i="74" s="1"/>
  <c r="G18" i="74"/>
  <c r="H18" i="74" s="1"/>
  <c r="O89" i="33"/>
  <c r="K89" i="33"/>
  <c r="G89" i="33"/>
  <c r="O77" i="33"/>
  <c r="K77" i="33"/>
  <c r="G77" i="33"/>
  <c r="O65" i="33"/>
  <c r="K65" i="33"/>
  <c r="G65" i="33"/>
  <c r="O53" i="33"/>
  <c r="K53" i="33"/>
  <c r="G53" i="33"/>
  <c r="O41" i="33"/>
  <c r="O7" i="33" s="1"/>
  <c r="K41" i="33"/>
  <c r="G41" i="33"/>
  <c r="K29" i="33"/>
  <c r="K15" i="33" s="1"/>
  <c r="G29" i="33"/>
  <c r="G48" i="74"/>
  <c r="H48" i="74" s="1"/>
  <c r="D7" i="74"/>
  <c r="D9" i="74"/>
  <c r="O25" i="74"/>
  <c r="P25" i="74" s="1"/>
  <c r="K25" i="74"/>
  <c r="G25" i="74"/>
  <c r="H25" i="74" s="1"/>
  <c r="O2" i="74"/>
  <c r="K2" i="74"/>
  <c r="G2" i="74"/>
  <c r="G15" i="33" l="1"/>
  <c r="G5" i="33"/>
  <c r="G16" i="33"/>
  <c r="G6" i="33"/>
  <c r="O17" i="33"/>
  <c r="O15" i="33"/>
  <c r="O5" i="33"/>
  <c r="O16" i="33"/>
  <c r="O6" i="33"/>
  <c r="L41" i="74"/>
  <c r="K9" i="74"/>
  <c r="F33" i="57" s="1"/>
  <c r="E33" i="57" s="1"/>
  <c r="O7" i="74"/>
  <c r="P7" i="74" s="1"/>
  <c r="O9" i="74"/>
  <c r="P9" i="74" s="1"/>
  <c r="K16" i="33"/>
  <c r="F18" i="57" s="1"/>
  <c r="G7" i="74"/>
  <c r="D27" i="57" s="1"/>
  <c r="C27" i="57" s="1"/>
  <c r="L9" i="74"/>
  <c r="H7" i="74"/>
  <c r="K7" i="74"/>
  <c r="G9" i="74"/>
  <c r="P18" i="74"/>
  <c r="L25" i="74"/>
  <c r="AA44" i="73"/>
  <c r="AA42" i="73"/>
  <c r="AG37" i="73"/>
  <c r="AI35" i="73"/>
  <c r="AG33" i="73"/>
  <c r="AI31" i="73"/>
  <c r="AI53" i="73"/>
  <c r="AJ53" i="73" s="1"/>
  <c r="AI47" i="73"/>
  <c r="AJ47" i="73" s="1"/>
  <c r="AJ58" i="73"/>
  <c r="AI50" i="73"/>
  <c r="AJ50" i="73" s="1"/>
  <c r="AG50" i="73"/>
  <c r="AA52" i="73"/>
  <c r="AA51" i="73"/>
  <c r="AA48" i="73"/>
  <c r="AI30" i="73" l="1"/>
  <c r="AJ30" i="73" s="1"/>
  <c r="AI41" i="73"/>
  <c r="AI43" i="73"/>
  <c r="AJ43" i="73" s="1"/>
  <c r="L7" i="74"/>
  <c r="F27" i="57"/>
  <c r="E27" i="57" s="1"/>
  <c r="AI40" i="73"/>
  <c r="AI44" i="73"/>
  <c r="AJ44" i="73" s="1"/>
  <c r="AI32" i="73"/>
  <c r="AJ32" i="73" s="1"/>
  <c r="AG42" i="73"/>
  <c r="AI34" i="73"/>
  <c r="AG39" i="73"/>
  <c r="AG43" i="73"/>
  <c r="AG29" i="73"/>
  <c r="AI39" i="73"/>
  <c r="AG44" i="73"/>
  <c r="AG40" i="73"/>
  <c r="AG36" i="73"/>
  <c r="AG32" i="73"/>
  <c r="AI52" i="73"/>
  <c r="AJ52" i="73" s="1"/>
  <c r="AI48" i="73"/>
  <c r="AJ48" i="73" s="1"/>
  <c r="AG34" i="73"/>
  <c r="AG30" i="73"/>
  <c r="AI29" i="73"/>
  <c r="AJ29" i="73" s="1"/>
  <c r="AG41" i="73"/>
  <c r="AI42" i="73"/>
  <c r="AJ42" i="73" s="1"/>
  <c r="AI37" i="73"/>
  <c r="AJ37" i="73" s="1"/>
  <c r="AI33" i="73"/>
  <c r="AJ33" i="73" s="1"/>
  <c r="AJ40" i="73"/>
  <c r="AJ35" i="73"/>
  <c r="AJ31" i="73"/>
  <c r="AJ41" i="73"/>
  <c r="AG35" i="73"/>
  <c r="AG31" i="73"/>
  <c r="AI36" i="73"/>
  <c r="AJ36" i="73" s="1"/>
  <c r="AJ39" i="73"/>
  <c r="AJ34" i="73"/>
  <c r="AG51" i="73"/>
  <c r="AG48" i="73"/>
  <c r="AI49" i="73"/>
  <c r="AJ49" i="73" s="1"/>
  <c r="H9" i="74"/>
  <c r="D33" i="57"/>
  <c r="C33" i="57" s="1"/>
  <c r="AG38" i="73"/>
  <c r="AI38" i="73"/>
  <c r="AJ38" i="73" s="1"/>
  <c r="AG52" i="73"/>
  <c r="AI51" i="73"/>
  <c r="AJ51" i="73" s="1"/>
  <c r="AG53" i="73"/>
  <c r="AG49" i="73"/>
  <c r="AG47" i="73"/>
  <c r="O13" i="33"/>
  <c r="K13" i="33"/>
  <c r="K6" i="33"/>
  <c r="K7" i="33"/>
  <c r="K5" i="33"/>
  <c r="G17" i="33"/>
  <c r="G7" i="33"/>
  <c r="H13" i="33"/>
  <c r="AJ54" i="73" l="1"/>
  <c r="AJ45" i="73"/>
  <c r="H18" i="57"/>
  <c r="G13" i="33"/>
  <c r="U119" i="73" l="1"/>
  <c r="U118" i="73"/>
  <c r="AK79" i="73"/>
  <c r="AM79" i="73"/>
  <c r="U74" i="73"/>
  <c r="AI74" i="73"/>
  <c r="U73" i="73"/>
  <c r="I14" i="73"/>
  <c r="AI15" i="73"/>
  <c r="AC19" i="73" s="1"/>
  <c r="A115" i="73"/>
  <c r="F156" i="73" s="1"/>
  <c r="A70" i="73"/>
  <c r="F111" i="73" s="1"/>
  <c r="A11" i="73"/>
  <c r="F66" i="73" s="1"/>
  <c r="A7" i="73"/>
  <c r="A4" i="73"/>
  <c r="F154" i="73"/>
  <c r="F152" i="73"/>
  <c r="F150" i="73"/>
  <c r="AJ148" i="73"/>
  <c r="H145" i="73"/>
  <c r="AJ142" i="73"/>
  <c r="AJ144" i="73" s="1"/>
  <c r="H141" i="73"/>
  <c r="AG139" i="73"/>
  <c r="AG138" i="73"/>
  <c r="AG133" i="73"/>
  <c r="H132" i="73"/>
  <c r="AM124" i="73"/>
  <c r="AK124" i="73"/>
  <c r="AM123" i="73"/>
  <c r="AK123" i="73"/>
  <c r="AM122" i="73"/>
  <c r="AK122" i="73"/>
  <c r="AI119" i="73"/>
  <c r="F109" i="73"/>
  <c r="F107" i="73"/>
  <c r="F105" i="73"/>
  <c r="AJ103" i="73"/>
  <c r="H97" i="73"/>
  <c r="H93" i="73"/>
  <c r="AJ91" i="73"/>
  <c r="AG91" i="73"/>
  <c r="AJ90" i="73"/>
  <c r="AG90" i="73"/>
  <c r="AJ89" i="73"/>
  <c r="AG89" i="73"/>
  <c r="AG88" i="73"/>
  <c r="H87" i="73"/>
  <c r="AM78" i="73"/>
  <c r="AK78" i="73"/>
  <c r="AM77" i="73"/>
  <c r="AK77" i="73"/>
  <c r="F64" i="73"/>
  <c r="F62" i="73"/>
  <c r="F60" i="73"/>
  <c r="U64" i="73"/>
  <c r="H55" i="73"/>
  <c r="H46" i="73"/>
  <c r="H28" i="73"/>
  <c r="AM19" i="73"/>
  <c r="AK19" i="73"/>
  <c r="AM18" i="73"/>
  <c r="AK18" i="73"/>
  <c r="AC18" i="73"/>
  <c r="AC79" i="73" l="1"/>
  <c r="AC77" i="73"/>
  <c r="AJ92" i="73"/>
  <c r="AJ96" i="73"/>
  <c r="Q19" i="73"/>
  <c r="AI19" i="73" s="1"/>
  <c r="U62" i="73" s="1"/>
  <c r="Q18" i="73"/>
  <c r="AI18" i="73" s="1"/>
  <c r="U60" i="73" s="1"/>
  <c r="AJ133" i="73"/>
  <c r="AJ140" i="73" s="1"/>
  <c r="I73" i="73"/>
  <c r="Q77" i="73" s="1"/>
  <c r="AI77" i="73" s="1"/>
  <c r="I15" i="73"/>
  <c r="AI14" i="73" s="1"/>
  <c r="I118" i="73"/>
  <c r="I119" i="73" s="1"/>
  <c r="AI118" i="73" s="1"/>
  <c r="AC122" i="73"/>
  <c r="AC78" i="73"/>
  <c r="AC124" i="73"/>
  <c r="AC123" i="73"/>
  <c r="U105" i="73" l="1"/>
  <c r="I74" i="73"/>
  <c r="AI73" i="73" s="1"/>
  <c r="U66" i="73"/>
  <c r="Q78" i="73"/>
  <c r="AI78" i="73" s="1"/>
  <c r="U107" i="73" s="1"/>
  <c r="Q79" i="73"/>
  <c r="AI79" i="73" s="1"/>
  <c r="U109" i="73" s="1"/>
  <c r="Q124" i="73"/>
  <c r="AI124" i="73" s="1"/>
  <c r="U154" i="73" s="1"/>
  <c r="Q123" i="73"/>
  <c r="AI123" i="73" s="1"/>
  <c r="U152" i="73" s="1"/>
  <c r="Q122" i="73"/>
  <c r="AI122" i="73" s="1"/>
  <c r="U150" i="73" s="1"/>
  <c r="U111" i="73" l="1"/>
  <c r="AD111" i="73" s="1"/>
  <c r="AD66" i="73"/>
  <c r="U156" i="73"/>
  <c r="AD156" i="73" s="1"/>
  <c r="J35" i="60"/>
  <c r="G35" i="60"/>
  <c r="D35" i="60"/>
  <c r="C35" i="60"/>
  <c r="L13" i="33" l="1"/>
  <c r="E18" i="57" l="1"/>
  <c r="G18" i="57"/>
  <c r="K168" i="72"/>
  <c r="H168" i="72"/>
  <c r="I10" i="72"/>
  <c r="A3" i="72" l="1"/>
  <c r="D168" i="72"/>
  <c r="M168" i="72" s="1"/>
  <c r="M163" i="72"/>
  <c r="J163" i="72"/>
  <c r="M162" i="72"/>
  <c r="J162" i="72"/>
  <c r="M161" i="72"/>
  <c r="J161" i="72"/>
  <c r="M160" i="72"/>
  <c r="L160" i="72"/>
  <c r="J160" i="72"/>
  <c r="I160" i="72"/>
  <c r="G160" i="72"/>
  <c r="M159" i="72"/>
  <c r="L159" i="72"/>
  <c r="J159" i="72"/>
  <c r="I159" i="72"/>
  <c r="M158" i="72"/>
  <c r="L158" i="72"/>
  <c r="J158" i="72"/>
  <c r="I158" i="72"/>
  <c r="G158" i="72"/>
  <c r="M157" i="72"/>
  <c r="L157" i="72"/>
  <c r="J157" i="72"/>
  <c r="I157" i="72"/>
  <c r="G157" i="72"/>
  <c r="M156" i="72"/>
  <c r="L156" i="72"/>
  <c r="J156" i="72"/>
  <c r="I156" i="72"/>
  <c r="G156" i="72"/>
  <c r="M155" i="72"/>
  <c r="L155" i="72"/>
  <c r="J155" i="72"/>
  <c r="I155" i="72"/>
  <c r="G155" i="72"/>
  <c r="M154" i="72"/>
  <c r="L154" i="72"/>
  <c r="J154" i="72"/>
  <c r="I154" i="72"/>
  <c r="G154" i="72"/>
  <c r="M153" i="72"/>
  <c r="L153" i="72"/>
  <c r="J153" i="72"/>
  <c r="I153" i="72"/>
  <c r="G153" i="72"/>
  <c r="M152" i="72"/>
  <c r="L152" i="72"/>
  <c r="J152" i="72"/>
  <c r="I152" i="72"/>
  <c r="G152" i="72"/>
  <c r="M151" i="72"/>
  <c r="L151" i="72"/>
  <c r="J151" i="72"/>
  <c r="I151" i="72"/>
  <c r="G151" i="72"/>
  <c r="M150" i="72"/>
  <c r="L150" i="72"/>
  <c r="J150" i="72"/>
  <c r="I150" i="72"/>
  <c r="G150" i="72"/>
  <c r="M149" i="72"/>
  <c r="L149" i="72"/>
  <c r="J149" i="72"/>
  <c r="I149" i="72"/>
  <c r="G149" i="72"/>
  <c r="M148" i="72"/>
  <c r="L148" i="72"/>
  <c r="J148" i="72"/>
  <c r="I148" i="72"/>
  <c r="M147" i="72"/>
  <c r="J147" i="72"/>
  <c r="M146" i="72"/>
  <c r="L146" i="72"/>
  <c r="J146" i="72"/>
  <c r="I146" i="72"/>
  <c r="G146" i="72"/>
  <c r="M145" i="72"/>
  <c r="L145" i="72"/>
  <c r="J145" i="72"/>
  <c r="I145" i="72"/>
  <c r="G145" i="72"/>
  <c r="M144" i="72"/>
  <c r="L144" i="72"/>
  <c r="J144" i="72"/>
  <c r="I144" i="72"/>
  <c r="G144" i="72"/>
  <c r="M143" i="72"/>
  <c r="L143" i="72"/>
  <c r="J143" i="72"/>
  <c r="I143" i="72"/>
  <c r="G143" i="72"/>
  <c r="M142" i="72"/>
  <c r="L142" i="72"/>
  <c r="J142" i="72"/>
  <c r="I142" i="72"/>
  <c r="G142" i="72"/>
  <c r="M141" i="72"/>
  <c r="L141" i="72"/>
  <c r="J141" i="72"/>
  <c r="I141" i="72"/>
  <c r="G141" i="72"/>
  <c r="M140" i="72"/>
  <c r="L140" i="72"/>
  <c r="J140" i="72"/>
  <c r="I140" i="72"/>
  <c r="G140" i="72"/>
  <c r="M139" i="72"/>
  <c r="L139" i="72"/>
  <c r="J139" i="72"/>
  <c r="I139" i="72"/>
  <c r="G139" i="72"/>
  <c r="M138" i="72"/>
  <c r="L138" i="72"/>
  <c r="J138" i="72"/>
  <c r="I138" i="72"/>
  <c r="G138" i="72"/>
  <c r="M137" i="72"/>
  <c r="L137" i="72"/>
  <c r="J137" i="72"/>
  <c r="I137" i="72"/>
  <c r="G137" i="72"/>
  <c r="M136" i="72"/>
  <c r="L136" i="72"/>
  <c r="J136" i="72"/>
  <c r="I136" i="72"/>
  <c r="G136" i="72"/>
  <c r="M135" i="72"/>
  <c r="L135" i="72"/>
  <c r="J135" i="72"/>
  <c r="I135" i="72"/>
  <c r="G135" i="72"/>
  <c r="M134" i="72"/>
  <c r="L134" i="72"/>
  <c r="J134" i="72"/>
  <c r="I134" i="72"/>
  <c r="G134" i="72"/>
  <c r="M133" i="72"/>
  <c r="L133" i="72"/>
  <c r="J133" i="72"/>
  <c r="I133" i="72"/>
  <c r="G133" i="72"/>
  <c r="M132" i="72"/>
  <c r="L132" i="72"/>
  <c r="J132" i="72"/>
  <c r="I132" i="72"/>
  <c r="G132" i="72"/>
  <c r="M131" i="72"/>
  <c r="L131" i="72"/>
  <c r="J131" i="72"/>
  <c r="I131" i="72"/>
  <c r="G131" i="72"/>
  <c r="M130" i="72"/>
  <c r="L130" i="72"/>
  <c r="J130" i="72"/>
  <c r="I130" i="72"/>
  <c r="G130" i="72"/>
  <c r="M129" i="72"/>
  <c r="L129" i="72"/>
  <c r="J129" i="72"/>
  <c r="I129" i="72"/>
  <c r="G129" i="72"/>
  <c r="M128" i="72"/>
  <c r="L128" i="72"/>
  <c r="J128" i="72"/>
  <c r="I128" i="72"/>
  <c r="G128" i="72"/>
  <c r="M127" i="72"/>
  <c r="L127" i="72"/>
  <c r="J127" i="72"/>
  <c r="I127" i="72"/>
  <c r="G127" i="72"/>
  <c r="M126" i="72"/>
  <c r="L126" i="72"/>
  <c r="J126" i="72"/>
  <c r="I126" i="72"/>
  <c r="G126" i="72"/>
  <c r="M125" i="72"/>
  <c r="L125" i="72"/>
  <c r="J125" i="72"/>
  <c r="I125" i="72"/>
  <c r="G125" i="72"/>
  <c r="M124" i="72"/>
  <c r="L124" i="72"/>
  <c r="J124" i="72"/>
  <c r="I124" i="72"/>
  <c r="G124" i="72"/>
  <c r="M123" i="72"/>
  <c r="L123" i="72"/>
  <c r="J123" i="72"/>
  <c r="I123" i="72"/>
  <c r="G123" i="72"/>
  <c r="G147" i="72" s="1"/>
  <c r="M122" i="72"/>
  <c r="L122" i="72"/>
  <c r="L147" i="72" s="1"/>
  <c r="J122" i="72"/>
  <c r="I122" i="72"/>
  <c r="G122" i="72"/>
  <c r="M121" i="72"/>
  <c r="L121" i="72"/>
  <c r="J121" i="72"/>
  <c r="I121" i="72"/>
  <c r="M120" i="72"/>
  <c r="J120" i="72"/>
  <c r="M119" i="72"/>
  <c r="L119" i="72"/>
  <c r="J119" i="72"/>
  <c r="I119" i="72"/>
  <c r="G119" i="72"/>
  <c r="M118" i="72"/>
  <c r="L118" i="72"/>
  <c r="J118" i="72"/>
  <c r="I118" i="72"/>
  <c r="G118" i="72"/>
  <c r="M117" i="72"/>
  <c r="L117" i="72"/>
  <c r="J117" i="72"/>
  <c r="I117" i="72"/>
  <c r="G117" i="72"/>
  <c r="M116" i="72"/>
  <c r="L116" i="72"/>
  <c r="J116" i="72"/>
  <c r="I116" i="72"/>
  <c r="G116" i="72"/>
  <c r="M115" i="72"/>
  <c r="L115" i="72"/>
  <c r="J115" i="72"/>
  <c r="I115" i="72"/>
  <c r="G115" i="72"/>
  <c r="M114" i="72"/>
  <c r="L114" i="72"/>
  <c r="J114" i="72"/>
  <c r="I114" i="72"/>
  <c r="G114" i="72"/>
  <c r="M113" i="72"/>
  <c r="L113" i="72"/>
  <c r="J113" i="72"/>
  <c r="I113" i="72"/>
  <c r="G113" i="72"/>
  <c r="M112" i="72"/>
  <c r="L112" i="72"/>
  <c r="J112" i="72"/>
  <c r="I112" i="72"/>
  <c r="G112" i="72"/>
  <c r="M111" i="72"/>
  <c r="L111" i="72"/>
  <c r="J111" i="72"/>
  <c r="I111" i="72"/>
  <c r="G111" i="72"/>
  <c r="M110" i="72"/>
  <c r="L110" i="72"/>
  <c r="J110" i="72"/>
  <c r="I110" i="72"/>
  <c r="G110" i="72"/>
  <c r="M109" i="72"/>
  <c r="L109" i="72"/>
  <c r="J109" i="72"/>
  <c r="I109" i="72"/>
  <c r="G109" i="72"/>
  <c r="M108" i="72"/>
  <c r="L108" i="72"/>
  <c r="J108" i="72"/>
  <c r="I108" i="72"/>
  <c r="G108" i="72"/>
  <c r="M107" i="72"/>
  <c r="L107" i="72"/>
  <c r="J107" i="72"/>
  <c r="I107" i="72"/>
  <c r="G107" i="72"/>
  <c r="M106" i="72"/>
  <c r="L106" i="72"/>
  <c r="J106" i="72"/>
  <c r="I106" i="72"/>
  <c r="G106" i="72"/>
  <c r="M105" i="72"/>
  <c r="L105" i="72"/>
  <c r="J105" i="72"/>
  <c r="I105" i="72"/>
  <c r="G105" i="72"/>
  <c r="M104" i="72"/>
  <c r="L104" i="72"/>
  <c r="J104" i="72"/>
  <c r="I104" i="72"/>
  <c r="G104" i="72"/>
  <c r="M103" i="72"/>
  <c r="L103" i="72"/>
  <c r="J103" i="72"/>
  <c r="I103" i="72"/>
  <c r="G103" i="72"/>
  <c r="M102" i="72"/>
  <c r="L102" i="72"/>
  <c r="J102" i="72"/>
  <c r="I102" i="72"/>
  <c r="G102" i="72"/>
  <c r="M101" i="72"/>
  <c r="L101" i="72"/>
  <c r="J101" i="72"/>
  <c r="I101" i="72"/>
  <c r="G101" i="72"/>
  <c r="M100" i="72"/>
  <c r="L100" i="72"/>
  <c r="J100" i="72"/>
  <c r="I100" i="72"/>
  <c r="G100" i="72"/>
  <c r="M99" i="72"/>
  <c r="L99" i="72"/>
  <c r="J99" i="72"/>
  <c r="I99" i="72"/>
  <c r="G99" i="72"/>
  <c r="M98" i="72"/>
  <c r="L98" i="72"/>
  <c r="J98" i="72"/>
  <c r="I98" i="72"/>
  <c r="G98" i="72"/>
  <c r="M97" i="72"/>
  <c r="L97" i="72"/>
  <c r="J97" i="72"/>
  <c r="I97" i="72"/>
  <c r="G97" i="72"/>
  <c r="M96" i="72"/>
  <c r="L96" i="72"/>
  <c r="J96" i="72"/>
  <c r="I96" i="72"/>
  <c r="M95" i="72"/>
  <c r="L95" i="72"/>
  <c r="J95" i="72"/>
  <c r="I95" i="72"/>
  <c r="M94" i="72"/>
  <c r="J94" i="72"/>
  <c r="M93" i="72"/>
  <c r="L93" i="72"/>
  <c r="J93" i="72"/>
  <c r="I93" i="72"/>
  <c r="G93" i="72"/>
  <c r="M92" i="72"/>
  <c r="L92" i="72"/>
  <c r="J92" i="72"/>
  <c r="I92" i="72"/>
  <c r="G92" i="72"/>
  <c r="M91" i="72"/>
  <c r="L91" i="72"/>
  <c r="J91" i="72"/>
  <c r="I91" i="72"/>
  <c r="G91" i="72"/>
  <c r="M90" i="72"/>
  <c r="L90" i="72"/>
  <c r="J90" i="72"/>
  <c r="I90" i="72"/>
  <c r="G90" i="72"/>
  <c r="M89" i="72"/>
  <c r="L89" i="72"/>
  <c r="J89" i="72"/>
  <c r="I89" i="72"/>
  <c r="M88" i="72"/>
  <c r="J88" i="72"/>
  <c r="M87" i="72"/>
  <c r="L87" i="72"/>
  <c r="J87" i="72"/>
  <c r="I87" i="72"/>
  <c r="G87" i="72"/>
  <c r="M86" i="72"/>
  <c r="L86" i="72"/>
  <c r="J86" i="72"/>
  <c r="I86" i="72"/>
  <c r="G86" i="72"/>
  <c r="M85" i="72"/>
  <c r="L85" i="72"/>
  <c r="J85" i="72"/>
  <c r="I85" i="72"/>
  <c r="G85" i="72"/>
  <c r="M84" i="72"/>
  <c r="L84" i="72"/>
  <c r="J84" i="72"/>
  <c r="I84" i="72"/>
  <c r="G84" i="72"/>
  <c r="M83" i="72"/>
  <c r="L83" i="72"/>
  <c r="J83" i="72"/>
  <c r="I83" i="72"/>
  <c r="G83" i="72"/>
  <c r="M82" i="72"/>
  <c r="L82" i="72"/>
  <c r="J82" i="72"/>
  <c r="I82" i="72"/>
  <c r="M81" i="72"/>
  <c r="J81" i="72"/>
  <c r="M80" i="72"/>
  <c r="L80" i="72"/>
  <c r="J80" i="72"/>
  <c r="I80" i="72"/>
  <c r="G80" i="72"/>
  <c r="M79" i="72"/>
  <c r="L79" i="72"/>
  <c r="J79" i="72"/>
  <c r="I79" i="72"/>
  <c r="G79" i="72"/>
  <c r="M78" i="72"/>
  <c r="L78" i="72"/>
  <c r="J78" i="72"/>
  <c r="I78" i="72"/>
  <c r="G78" i="72"/>
  <c r="M77" i="72"/>
  <c r="L77" i="72"/>
  <c r="J77" i="72"/>
  <c r="I77" i="72"/>
  <c r="M76" i="72"/>
  <c r="J76" i="72"/>
  <c r="M75" i="72"/>
  <c r="L75" i="72"/>
  <c r="J75" i="72"/>
  <c r="I75" i="72"/>
  <c r="G75" i="72"/>
  <c r="M74" i="72"/>
  <c r="L74" i="72"/>
  <c r="J74" i="72"/>
  <c r="I74" i="72"/>
  <c r="G74" i="72"/>
  <c r="M73" i="72"/>
  <c r="L73" i="72"/>
  <c r="J73" i="72"/>
  <c r="I73" i="72"/>
  <c r="M72" i="72"/>
  <c r="J72" i="72"/>
  <c r="M71" i="72"/>
  <c r="L71" i="72"/>
  <c r="L72" i="72" s="1"/>
  <c r="J71" i="72"/>
  <c r="I71" i="72"/>
  <c r="I72" i="72" s="1"/>
  <c r="G71" i="72"/>
  <c r="G72" i="72" s="1"/>
  <c r="M70" i="72"/>
  <c r="L70" i="72"/>
  <c r="J70" i="72"/>
  <c r="I70" i="72"/>
  <c r="M69" i="72"/>
  <c r="J69" i="72"/>
  <c r="M68" i="72"/>
  <c r="L68" i="72"/>
  <c r="J68" i="72"/>
  <c r="I68" i="72"/>
  <c r="G68" i="72"/>
  <c r="M67" i="72"/>
  <c r="L67" i="72"/>
  <c r="J67" i="72"/>
  <c r="I67" i="72"/>
  <c r="G67" i="72"/>
  <c r="M66" i="72"/>
  <c r="L66" i="72"/>
  <c r="J66" i="72"/>
  <c r="I66" i="72"/>
  <c r="G66" i="72"/>
  <c r="M65" i="72"/>
  <c r="L65" i="72"/>
  <c r="J65" i="72"/>
  <c r="I65" i="72"/>
  <c r="G65" i="72"/>
  <c r="M64" i="72"/>
  <c r="L64" i="72"/>
  <c r="J64" i="72"/>
  <c r="I64" i="72"/>
  <c r="M63" i="72"/>
  <c r="J63" i="72"/>
  <c r="M62" i="72"/>
  <c r="L62" i="72"/>
  <c r="J62" i="72"/>
  <c r="I62" i="72"/>
  <c r="G62" i="72"/>
  <c r="M61" i="72"/>
  <c r="L61" i="72"/>
  <c r="J61" i="72"/>
  <c r="I61" i="72"/>
  <c r="G61" i="72"/>
  <c r="M60" i="72"/>
  <c r="L60" i="72"/>
  <c r="J60" i="72"/>
  <c r="I60" i="72"/>
  <c r="G60" i="72"/>
  <c r="M59" i="72"/>
  <c r="L59" i="72"/>
  <c r="J59" i="72"/>
  <c r="I59" i="72"/>
  <c r="G59" i="72"/>
  <c r="M58" i="72"/>
  <c r="L58" i="72"/>
  <c r="J58" i="72"/>
  <c r="I58" i="72"/>
  <c r="G58" i="72"/>
  <c r="M57" i="72"/>
  <c r="L57" i="72"/>
  <c r="J57" i="72"/>
  <c r="I57" i="72"/>
  <c r="G57" i="72"/>
  <c r="M56" i="72"/>
  <c r="L56" i="72"/>
  <c r="J56" i="72"/>
  <c r="I56" i="72"/>
  <c r="G56" i="72"/>
  <c r="M55" i="72"/>
  <c r="L55" i="72"/>
  <c r="J55" i="72"/>
  <c r="I55" i="72"/>
  <c r="M54" i="72"/>
  <c r="J54" i="72"/>
  <c r="M53" i="72"/>
  <c r="L53" i="72"/>
  <c r="J53" i="72"/>
  <c r="I53" i="72"/>
  <c r="G53" i="72"/>
  <c r="M52" i="72"/>
  <c r="L52" i="72"/>
  <c r="J52" i="72"/>
  <c r="I52" i="72"/>
  <c r="G52" i="72"/>
  <c r="M51" i="72"/>
  <c r="L51" i="72"/>
  <c r="J51" i="72"/>
  <c r="I51" i="72"/>
  <c r="G51" i="72"/>
  <c r="M50" i="72"/>
  <c r="L50" i="72"/>
  <c r="J50" i="72"/>
  <c r="I50" i="72"/>
  <c r="G50" i="72"/>
  <c r="M49" i="72"/>
  <c r="L49" i="72"/>
  <c r="J49" i="72"/>
  <c r="I49" i="72"/>
  <c r="M48" i="72"/>
  <c r="J48" i="72"/>
  <c r="M47" i="72"/>
  <c r="L47" i="72"/>
  <c r="J47" i="72"/>
  <c r="I47" i="72"/>
  <c r="G47" i="72"/>
  <c r="M46" i="72"/>
  <c r="L46" i="72"/>
  <c r="J46" i="72"/>
  <c r="I46" i="72"/>
  <c r="G46" i="72"/>
  <c r="M45" i="72"/>
  <c r="L45" i="72"/>
  <c r="J45" i="72"/>
  <c r="I45" i="72"/>
  <c r="G45" i="72"/>
  <c r="M44" i="72"/>
  <c r="L44" i="72"/>
  <c r="J44" i="72"/>
  <c r="I44" i="72"/>
  <c r="G44" i="72"/>
  <c r="M43" i="72"/>
  <c r="L43" i="72"/>
  <c r="J43" i="72"/>
  <c r="I43" i="72"/>
  <c r="G43" i="72"/>
  <c r="M42" i="72"/>
  <c r="L42" i="72"/>
  <c r="J42" i="72"/>
  <c r="I42" i="72"/>
  <c r="G42" i="72"/>
  <c r="M41" i="72"/>
  <c r="L41" i="72"/>
  <c r="J41" i="72"/>
  <c r="I41" i="72"/>
  <c r="G41" i="72"/>
  <c r="M40" i="72"/>
  <c r="L40" i="72"/>
  <c r="J40" i="72"/>
  <c r="I40" i="72"/>
  <c r="G40" i="72"/>
  <c r="M39" i="72"/>
  <c r="L39" i="72"/>
  <c r="J39" i="72"/>
  <c r="I39" i="72"/>
  <c r="G39" i="72"/>
  <c r="M38" i="72"/>
  <c r="L38" i="72"/>
  <c r="J38" i="72"/>
  <c r="I38" i="72"/>
  <c r="G38" i="72"/>
  <c r="M37" i="72"/>
  <c r="L37" i="72"/>
  <c r="J37" i="72"/>
  <c r="I37" i="72"/>
  <c r="G37" i="72"/>
  <c r="M36" i="72"/>
  <c r="L36" i="72"/>
  <c r="J36" i="72"/>
  <c r="I36" i="72"/>
  <c r="G36" i="72"/>
  <c r="M35" i="72"/>
  <c r="L35" i="72"/>
  <c r="J35" i="72"/>
  <c r="I35" i="72"/>
  <c r="G35" i="72"/>
  <c r="M34" i="72"/>
  <c r="L34" i="72"/>
  <c r="J34" i="72"/>
  <c r="I34" i="72"/>
  <c r="G34" i="72"/>
  <c r="M33" i="72"/>
  <c r="L33" i="72"/>
  <c r="J33" i="72"/>
  <c r="I33" i="72"/>
  <c r="G33" i="72"/>
  <c r="M32" i="72"/>
  <c r="L32" i="72"/>
  <c r="J32" i="72"/>
  <c r="I32" i="72"/>
  <c r="G32" i="72"/>
  <c r="M31" i="72"/>
  <c r="L31" i="72"/>
  <c r="J31" i="72"/>
  <c r="I31" i="72"/>
  <c r="M30" i="72"/>
  <c r="J30" i="72"/>
  <c r="M29" i="72"/>
  <c r="L29" i="72"/>
  <c r="L30" i="72" s="1"/>
  <c r="J29" i="72"/>
  <c r="I29" i="72"/>
  <c r="I30" i="72" s="1"/>
  <c r="G29" i="72"/>
  <c r="G30" i="72" s="1"/>
  <c r="M28" i="72"/>
  <c r="L28" i="72"/>
  <c r="J28" i="72"/>
  <c r="I28" i="72"/>
  <c r="M27" i="72"/>
  <c r="J27" i="72"/>
  <c r="M26" i="72"/>
  <c r="L26" i="72"/>
  <c r="J26" i="72"/>
  <c r="I26" i="72"/>
  <c r="G26" i="72"/>
  <c r="M25" i="72"/>
  <c r="L25" i="72"/>
  <c r="J25" i="72"/>
  <c r="I25" i="72"/>
  <c r="G25" i="72"/>
  <c r="M24" i="72"/>
  <c r="L24" i="72"/>
  <c r="J24" i="72"/>
  <c r="I24" i="72"/>
  <c r="G24" i="72"/>
  <c r="M23" i="72"/>
  <c r="L23" i="72"/>
  <c r="J23" i="72"/>
  <c r="I23" i="72"/>
  <c r="G23" i="72"/>
  <c r="M22" i="72"/>
  <c r="L22" i="72"/>
  <c r="J22" i="72"/>
  <c r="I22" i="72"/>
  <c r="M21" i="72"/>
  <c r="J21" i="72"/>
  <c r="M20" i="72"/>
  <c r="L20" i="72"/>
  <c r="J20" i="72"/>
  <c r="I20" i="72"/>
  <c r="G20" i="72"/>
  <c r="M19" i="72"/>
  <c r="L19" i="72"/>
  <c r="J19" i="72"/>
  <c r="I19" i="72"/>
  <c r="G19" i="72"/>
  <c r="M18" i="72"/>
  <c r="L18" i="72"/>
  <c r="J18" i="72"/>
  <c r="I18" i="72"/>
  <c r="G18" i="72"/>
  <c r="M17" i="72"/>
  <c r="L17" i="72"/>
  <c r="J17" i="72"/>
  <c r="I17" i="72"/>
  <c r="G17" i="72"/>
  <c r="M16" i="72"/>
  <c r="L16" i="72"/>
  <c r="J16" i="72"/>
  <c r="I16" i="72"/>
  <c r="G16" i="72"/>
  <c r="M15" i="72"/>
  <c r="L15" i="72"/>
  <c r="J15" i="72"/>
  <c r="I15" i="72"/>
  <c r="G15" i="72"/>
  <c r="M14" i="72"/>
  <c r="L14" i="72"/>
  <c r="J14" i="72"/>
  <c r="I14" i="72"/>
  <c r="M13" i="72"/>
  <c r="J13" i="72"/>
  <c r="M12" i="72"/>
  <c r="L12" i="72"/>
  <c r="J12" i="72"/>
  <c r="I12" i="72"/>
  <c r="G12" i="72"/>
  <c r="M11" i="72"/>
  <c r="L11" i="72"/>
  <c r="J11" i="72"/>
  <c r="I11" i="72"/>
  <c r="I13" i="72" s="1"/>
  <c r="G11" i="72"/>
  <c r="M10" i="72"/>
  <c r="L10" i="72"/>
  <c r="J10" i="72"/>
  <c r="G10" i="72"/>
  <c r="M9" i="72"/>
  <c r="L9" i="72"/>
  <c r="J9" i="72"/>
  <c r="I9" i="72"/>
  <c r="G76" i="72" l="1"/>
  <c r="I76" i="72"/>
  <c r="G81" i="72"/>
  <c r="G94" i="72"/>
  <c r="I48" i="72"/>
  <c r="G69" i="72"/>
  <c r="G13" i="72"/>
  <c r="L13" i="72"/>
  <c r="G21" i="72"/>
  <c r="G27" i="72"/>
  <c r="G48" i="72"/>
  <c r="G54" i="72"/>
  <c r="G63" i="72"/>
  <c r="L63" i="72"/>
  <c r="L76" i="72"/>
  <c r="G88" i="72"/>
  <c r="L88" i="72"/>
  <c r="G120" i="72"/>
  <c r="I161" i="72"/>
  <c r="G161" i="72"/>
  <c r="J168" i="72"/>
  <c r="L48" i="72"/>
  <c r="L81" i="72"/>
  <c r="L94" i="72"/>
  <c r="L69" i="72"/>
  <c r="L21" i="72"/>
  <c r="L27" i="72"/>
  <c r="L54" i="72"/>
  <c r="L120" i="72"/>
  <c r="L162" i="72" s="1"/>
  <c r="L161" i="72"/>
  <c r="I120" i="72"/>
  <c r="I81" i="72"/>
  <c r="I27" i="72"/>
  <c r="I54" i="72"/>
  <c r="I88" i="72"/>
  <c r="I94" i="72"/>
  <c r="I63" i="72"/>
  <c r="I69" i="72"/>
  <c r="I147" i="72"/>
  <c r="I21" i="72"/>
  <c r="A5" i="60"/>
  <c r="A4" i="60"/>
  <c r="B69" i="57"/>
  <c r="B70" i="57" s="1"/>
  <c r="I162" i="72" l="1"/>
  <c r="L164" i="72"/>
  <c r="G162" i="72"/>
  <c r="G164" i="72" s="1"/>
  <c r="L167" i="72"/>
  <c r="L169" i="72" s="1"/>
  <c r="L166" i="72"/>
  <c r="L165" i="72"/>
  <c r="I164" i="72"/>
  <c r="G167" i="72" l="1"/>
  <c r="G169" i="72" s="1"/>
  <c r="G165" i="72"/>
  <c r="G168" i="72" s="1"/>
  <c r="G166" i="72"/>
  <c r="L168" i="72"/>
  <c r="L170" i="72" s="1"/>
  <c r="L174" i="72" s="1"/>
  <c r="I165" i="72"/>
  <c r="I167" i="72"/>
  <c r="I169" i="72" s="1"/>
  <c r="I166" i="72"/>
  <c r="L53" i="33"/>
  <c r="G170" i="72" l="1"/>
  <c r="G172" i="72" s="1"/>
  <c r="M174" i="72" s="1"/>
  <c r="L177" i="72"/>
  <c r="L178" i="72" s="1"/>
  <c r="M178" i="72" s="1"/>
  <c r="I168" i="72"/>
  <c r="I170" i="72" s="1"/>
  <c r="I174" i="72" s="1"/>
  <c r="I175" i="72" s="1"/>
  <c r="J175" i="72" s="1"/>
  <c r="H29" i="33" l="1"/>
  <c r="J174" i="72"/>
  <c r="L175" i="72"/>
  <c r="M175" i="72" s="1"/>
  <c r="K180" i="72" s="1"/>
  <c r="I177" i="72"/>
  <c r="I178" i="72" s="1"/>
  <c r="J178" i="72" s="1"/>
  <c r="D50" i="57"/>
  <c r="H180" i="72"/>
  <c r="P53" i="33" l="1"/>
  <c r="P41" i="33"/>
  <c r="H41" i="33"/>
  <c r="O4" i="33" l="1"/>
  <c r="H17" i="57" s="1"/>
  <c r="G17" i="57" s="1"/>
  <c r="P29" i="33"/>
  <c r="L41" i="33"/>
  <c r="L29" i="33"/>
  <c r="K315" i="65"/>
  <c r="H315" i="65"/>
  <c r="A3" i="65"/>
  <c r="P4" i="33" l="1"/>
  <c r="K316" i="65"/>
  <c r="J308" i="65"/>
  <c r="H316" i="65" l="1"/>
  <c r="H309" i="65" l="1"/>
  <c r="G308" i="65"/>
  <c r="J3" i="65" l="1"/>
  <c r="G3" i="65"/>
  <c r="K309" i="65"/>
  <c r="K306" i="65"/>
  <c r="K307" i="65"/>
  <c r="K305" i="65"/>
  <c r="K11" i="65"/>
  <c r="L11" i="65"/>
  <c r="K12" i="65"/>
  <c r="L12" i="65"/>
  <c r="K13" i="65"/>
  <c r="L13" i="65"/>
  <c r="K14" i="65"/>
  <c r="L14" i="65"/>
  <c r="K15" i="65"/>
  <c r="L15" i="65"/>
  <c r="K16" i="65"/>
  <c r="L16" i="65"/>
  <c r="K17" i="65"/>
  <c r="L17" i="65"/>
  <c r="K18" i="65"/>
  <c r="L18" i="65"/>
  <c r="K19" i="65"/>
  <c r="L19" i="65"/>
  <c r="K20" i="65"/>
  <c r="L20" i="65"/>
  <c r="K21" i="65"/>
  <c r="L21" i="65"/>
  <c r="K22" i="65"/>
  <c r="L22" i="65"/>
  <c r="K23" i="65"/>
  <c r="L23" i="65"/>
  <c r="K24" i="65"/>
  <c r="L24" i="65"/>
  <c r="K25" i="65"/>
  <c r="L25" i="65"/>
  <c r="K26" i="65"/>
  <c r="L26" i="65"/>
  <c r="K27" i="65"/>
  <c r="L27" i="65"/>
  <c r="K28" i="65"/>
  <c r="L28" i="65"/>
  <c r="K29" i="65"/>
  <c r="L29" i="65"/>
  <c r="K30" i="65"/>
  <c r="L30" i="65"/>
  <c r="K31" i="65"/>
  <c r="L31" i="65"/>
  <c r="K32" i="65"/>
  <c r="L32" i="65"/>
  <c r="K33" i="65"/>
  <c r="L33" i="65"/>
  <c r="K34" i="65"/>
  <c r="L34" i="65"/>
  <c r="K35" i="65"/>
  <c r="L35" i="65"/>
  <c r="K36" i="65"/>
  <c r="L36" i="65"/>
  <c r="K37" i="65"/>
  <c r="L37" i="65"/>
  <c r="K38" i="65"/>
  <c r="L38" i="65"/>
  <c r="K39" i="65"/>
  <c r="L39" i="65"/>
  <c r="K40" i="65"/>
  <c r="L40" i="65"/>
  <c r="K41" i="65"/>
  <c r="L41" i="65"/>
  <c r="K42" i="65"/>
  <c r="L42" i="65"/>
  <c r="K43" i="65"/>
  <c r="L43" i="65"/>
  <c r="K44" i="65"/>
  <c r="L44" i="65"/>
  <c r="K45" i="65"/>
  <c r="L45" i="65"/>
  <c r="K46" i="65"/>
  <c r="L46" i="65"/>
  <c r="K47" i="65"/>
  <c r="L47" i="65"/>
  <c r="K48" i="65"/>
  <c r="L48" i="65"/>
  <c r="K49" i="65"/>
  <c r="L49" i="65"/>
  <c r="K50" i="65"/>
  <c r="L50" i="65"/>
  <c r="K51" i="65"/>
  <c r="L51" i="65"/>
  <c r="K52" i="65"/>
  <c r="L52" i="65"/>
  <c r="K53" i="65"/>
  <c r="L53" i="65"/>
  <c r="K54" i="65"/>
  <c r="L54" i="65"/>
  <c r="K55" i="65"/>
  <c r="L55" i="65"/>
  <c r="K56" i="65"/>
  <c r="L56" i="65"/>
  <c r="K57" i="65"/>
  <c r="L57" i="65"/>
  <c r="K58" i="65"/>
  <c r="L58" i="65"/>
  <c r="K59" i="65"/>
  <c r="L59" i="65"/>
  <c r="K60" i="65"/>
  <c r="L60" i="65"/>
  <c r="K61" i="65"/>
  <c r="L61" i="65"/>
  <c r="K62" i="65"/>
  <c r="L62" i="65"/>
  <c r="K63" i="65"/>
  <c r="L63" i="65"/>
  <c r="K64" i="65"/>
  <c r="L64" i="65"/>
  <c r="K65" i="65"/>
  <c r="L65" i="65"/>
  <c r="K66" i="65"/>
  <c r="L66" i="65"/>
  <c r="K67" i="65"/>
  <c r="L67" i="65"/>
  <c r="K68" i="65"/>
  <c r="L68" i="65"/>
  <c r="K69" i="65"/>
  <c r="L69" i="65"/>
  <c r="K70" i="65"/>
  <c r="L70" i="65"/>
  <c r="K71" i="65"/>
  <c r="L71" i="65"/>
  <c r="K72" i="65"/>
  <c r="L72" i="65"/>
  <c r="K73" i="65"/>
  <c r="L73" i="65"/>
  <c r="K74" i="65"/>
  <c r="L74" i="65"/>
  <c r="K75" i="65"/>
  <c r="L75" i="65"/>
  <c r="K76" i="65"/>
  <c r="L76" i="65"/>
  <c r="K77" i="65"/>
  <c r="L77" i="65"/>
  <c r="K78" i="65"/>
  <c r="L78" i="65"/>
  <c r="K79" i="65"/>
  <c r="L79" i="65"/>
  <c r="K80" i="65"/>
  <c r="L80" i="65"/>
  <c r="K81" i="65"/>
  <c r="L81" i="65"/>
  <c r="K82" i="65"/>
  <c r="L82" i="65"/>
  <c r="K83" i="65"/>
  <c r="L83" i="65"/>
  <c r="K84" i="65"/>
  <c r="L84" i="65"/>
  <c r="K85" i="65"/>
  <c r="L85" i="65"/>
  <c r="K86" i="65"/>
  <c r="L86" i="65"/>
  <c r="K87" i="65"/>
  <c r="L87" i="65"/>
  <c r="K88" i="65"/>
  <c r="L88" i="65"/>
  <c r="K89" i="65"/>
  <c r="L89" i="65"/>
  <c r="K90" i="65"/>
  <c r="L90" i="65"/>
  <c r="K91" i="65"/>
  <c r="L91" i="65"/>
  <c r="K92" i="65"/>
  <c r="L92" i="65"/>
  <c r="K93" i="65"/>
  <c r="L93" i="65"/>
  <c r="K94" i="65"/>
  <c r="L94" i="65"/>
  <c r="K95" i="65"/>
  <c r="L95" i="65"/>
  <c r="K96" i="65"/>
  <c r="L96" i="65"/>
  <c r="K97" i="65"/>
  <c r="L97" i="65"/>
  <c r="K98" i="65"/>
  <c r="L98" i="65"/>
  <c r="K99" i="65"/>
  <c r="L99" i="65"/>
  <c r="K100" i="65"/>
  <c r="L100" i="65"/>
  <c r="K101" i="65"/>
  <c r="L101" i="65"/>
  <c r="K102" i="65"/>
  <c r="L102" i="65"/>
  <c r="K103" i="65"/>
  <c r="L103" i="65"/>
  <c r="K104" i="65"/>
  <c r="L104" i="65"/>
  <c r="K105" i="65"/>
  <c r="L105" i="65"/>
  <c r="K106" i="65"/>
  <c r="L106" i="65"/>
  <c r="K107" i="65"/>
  <c r="L107" i="65"/>
  <c r="K108" i="65"/>
  <c r="L108" i="65"/>
  <c r="K109" i="65"/>
  <c r="L109" i="65"/>
  <c r="K110" i="65"/>
  <c r="L110" i="65"/>
  <c r="K111" i="65"/>
  <c r="L111" i="65"/>
  <c r="K112" i="65"/>
  <c r="L112" i="65"/>
  <c r="K113" i="65"/>
  <c r="L113" i="65"/>
  <c r="K114" i="65"/>
  <c r="L114" i="65"/>
  <c r="K115" i="65"/>
  <c r="L115" i="65"/>
  <c r="K116" i="65"/>
  <c r="L116" i="65"/>
  <c r="K117" i="65"/>
  <c r="L117" i="65"/>
  <c r="K118" i="65"/>
  <c r="L118" i="65"/>
  <c r="K119" i="65"/>
  <c r="L119" i="65"/>
  <c r="K120" i="65"/>
  <c r="L120" i="65"/>
  <c r="K121" i="65"/>
  <c r="L121" i="65"/>
  <c r="K122" i="65"/>
  <c r="L122" i="65"/>
  <c r="K123" i="65"/>
  <c r="L123" i="65"/>
  <c r="K124" i="65"/>
  <c r="L124" i="65"/>
  <c r="K125" i="65"/>
  <c r="L125" i="65"/>
  <c r="K126" i="65"/>
  <c r="L126" i="65"/>
  <c r="K127" i="65"/>
  <c r="L127" i="65"/>
  <c r="K128" i="65"/>
  <c r="L128" i="65"/>
  <c r="K129" i="65"/>
  <c r="L129" i="65"/>
  <c r="K130" i="65"/>
  <c r="L130" i="65"/>
  <c r="K131" i="65"/>
  <c r="L131" i="65"/>
  <c r="K132" i="65"/>
  <c r="L132" i="65"/>
  <c r="K133" i="65"/>
  <c r="L133" i="65"/>
  <c r="K134" i="65"/>
  <c r="L134" i="65"/>
  <c r="K135" i="65"/>
  <c r="L135" i="65"/>
  <c r="K136" i="65"/>
  <c r="L136" i="65"/>
  <c r="K137" i="65"/>
  <c r="L137" i="65"/>
  <c r="K138" i="65"/>
  <c r="L138" i="65"/>
  <c r="K139" i="65"/>
  <c r="L139" i="65"/>
  <c r="K140" i="65"/>
  <c r="L140" i="65"/>
  <c r="K141" i="65"/>
  <c r="L141" i="65"/>
  <c r="K142" i="65"/>
  <c r="L142" i="65"/>
  <c r="K143" i="65"/>
  <c r="L143" i="65"/>
  <c r="K144" i="65"/>
  <c r="L144" i="65"/>
  <c r="K145" i="65"/>
  <c r="L145" i="65"/>
  <c r="K146" i="65"/>
  <c r="L146" i="65"/>
  <c r="K147" i="65"/>
  <c r="L147" i="65"/>
  <c r="K148" i="65"/>
  <c r="L148" i="65"/>
  <c r="K149" i="65"/>
  <c r="L149" i="65"/>
  <c r="K150" i="65"/>
  <c r="L150" i="65"/>
  <c r="K151" i="65"/>
  <c r="L151" i="65"/>
  <c r="K152" i="65"/>
  <c r="L152" i="65"/>
  <c r="K153" i="65"/>
  <c r="L153" i="65"/>
  <c r="K154" i="65"/>
  <c r="L154" i="65"/>
  <c r="K155" i="65"/>
  <c r="L155" i="65"/>
  <c r="K156" i="65"/>
  <c r="L156" i="65"/>
  <c r="K157" i="65"/>
  <c r="L157" i="65"/>
  <c r="K158" i="65"/>
  <c r="L158" i="65"/>
  <c r="K159" i="65"/>
  <c r="L159" i="65"/>
  <c r="K160" i="65"/>
  <c r="L160" i="65"/>
  <c r="K161" i="65"/>
  <c r="L161" i="65"/>
  <c r="K162" i="65"/>
  <c r="L162" i="65"/>
  <c r="K163" i="65"/>
  <c r="L163" i="65"/>
  <c r="K164" i="65"/>
  <c r="L164" i="65"/>
  <c r="K165" i="65"/>
  <c r="L165" i="65"/>
  <c r="K166" i="65"/>
  <c r="L166" i="65"/>
  <c r="K167" i="65"/>
  <c r="L167" i="65"/>
  <c r="K168" i="65"/>
  <c r="L168" i="65"/>
  <c r="K169" i="65"/>
  <c r="L169" i="65"/>
  <c r="K170" i="65"/>
  <c r="L170" i="65"/>
  <c r="K171" i="65"/>
  <c r="L171" i="65"/>
  <c r="K172" i="65"/>
  <c r="L172" i="65"/>
  <c r="K173" i="65"/>
  <c r="L173" i="65"/>
  <c r="K174" i="65"/>
  <c r="L174" i="65"/>
  <c r="K175" i="65"/>
  <c r="L175" i="65"/>
  <c r="K176" i="65"/>
  <c r="L176" i="65"/>
  <c r="K177" i="65"/>
  <c r="L177" i="65"/>
  <c r="K178" i="65"/>
  <c r="L178" i="65"/>
  <c r="K179" i="65"/>
  <c r="L179" i="65"/>
  <c r="K180" i="65"/>
  <c r="L180" i="65"/>
  <c r="K181" i="65"/>
  <c r="L181" i="65"/>
  <c r="K182" i="65"/>
  <c r="L182" i="65"/>
  <c r="K183" i="65"/>
  <c r="L183" i="65"/>
  <c r="K184" i="65"/>
  <c r="L184" i="65"/>
  <c r="K185" i="65"/>
  <c r="L185" i="65"/>
  <c r="K186" i="65"/>
  <c r="L186" i="65"/>
  <c r="K187" i="65"/>
  <c r="L187" i="65"/>
  <c r="K188" i="65"/>
  <c r="L188" i="65"/>
  <c r="K189" i="65"/>
  <c r="L189" i="65"/>
  <c r="K190" i="65"/>
  <c r="L190" i="65"/>
  <c r="K191" i="65"/>
  <c r="L191" i="65"/>
  <c r="K192" i="65"/>
  <c r="L192" i="65"/>
  <c r="K193" i="65"/>
  <c r="L193" i="65"/>
  <c r="K194" i="65"/>
  <c r="L194" i="65"/>
  <c r="K195" i="65"/>
  <c r="L195" i="65"/>
  <c r="K196" i="65"/>
  <c r="L196" i="65"/>
  <c r="K197" i="65"/>
  <c r="L197" i="65"/>
  <c r="K198" i="65"/>
  <c r="L198" i="65"/>
  <c r="K199" i="65"/>
  <c r="L199" i="65"/>
  <c r="K200" i="65"/>
  <c r="L200" i="65"/>
  <c r="K201" i="65"/>
  <c r="L201" i="65"/>
  <c r="K202" i="65"/>
  <c r="L202" i="65"/>
  <c r="K203" i="65"/>
  <c r="L203" i="65"/>
  <c r="K204" i="65"/>
  <c r="L204" i="65"/>
  <c r="K205" i="65"/>
  <c r="L205" i="65"/>
  <c r="K206" i="65"/>
  <c r="L206" i="65"/>
  <c r="K207" i="65"/>
  <c r="L207" i="65"/>
  <c r="K208" i="65"/>
  <c r="L208" i="65"/>
  <c r="K209" i="65"/>
  <c r="L209" i="65"/>
  <c r="K210" i="65"/>
  <c r="L210" i="65"/>
  <c r="K211" i="65"/>
  <c r="L211" i="65"/>
  <c r="K212" i="65"/>
  <c r="L212" i="65"/>
  <c r="K213" i="65"/>
  <c r="L213" i="65"/>
  <c r="K214" i="65"/>
  <c r="L214" i="65"/>
  <c r="K215" i="65"/>
  <c r="L215" i="65"/>
  <c r="K216" i="65"/>
  <c r="L216" i="65"/>
  <c r="K217" i="65"/>
  <c r="L217" i="65"/>
  <c r="K218" i="65"/>
  <c r="L218" i="65"/>
  <c r="K219" i="65"/>
  <c r="L219" i="65"/>
  <c r="K220" i="65"/>
  <c r="L220" i="65"/>
  <c r="K221" i="65"/>
  <c r="L221" i="65"/>
  <c r="K222" i="65"/>
  <c r="L222" i="65"/>
  <c r="K223" i="65"/>
  <c r="L223" i="65"/>
  <c r="K224" i="65"/>
  <c r="L224" i="65"/>
  <c r="K225" i="65"/>
  <c r="L225" i="65"/>
  <c r="K226" i="65"/>
  <c r="L226" i="65"/>
  <c r="K227" i="65"/>
  <c r="L227" i="65"/>
  <c r="K228" i="65"/>
  <c r="L228" i="65"/>
  <c r="K229" i="65"/>
  <c r="L229" i="65"/>
  <c r="K230" i="65"/>
  <c r="L230" i="65"/>
  <c r="K231" i="65"/>
  <c r="L231" i="65"/>
  <c r="K232" i="65"/>
  <c r="L232" i="65"/>
  <c r="K233" i="65"/>
  <c r="L233" i="65"/>
  <c r="K234" i="65"/>
  <c r="L234" i="65"/>
  <c r="K235" i="65"/>
  <c r="L235" i="65"/>
  <c r="K236" i="65"/>
  <c r="L236" i="65"/>
  <c r="K237" i="65"/>
  <c r="L237" i="65"/>
  <c r="K238" i="65"/>
  <c r="L238" i="65"/>
  <c r="K239" i="65"/>
  <c r="L239" i="65"/>
  <c r="K240" i="65"/>
  <c r="L240" i="65"/>
  <c r="K241" i="65"/>
  <c r="L241" i="65"/>
  <c r="K242" i="65"/>
  <c r="L242" i="65"/>
  <c r="K243" i="65"/>
  <c r="L243" i="65"/>
  <c r="K244" i="65"/>
  <c r="L244" i="65"/>
  <c r="K245" i="65"/>
  <c r="L245" i="65"/>
  <c r="K246" i="65"/>
  <c r="L246" i="65"/>
  <c r="K247" i="65"/>
  <c r="L247" i="65"/>
  <c r="K248" i="65"/>
  <c r="L248" i="65"/>
  <c r="K249" i="65"/>
  <c r="L249" i="65"/>
  <c r="K250" i="65"/>
  <c r="L250" i="65"/>
  <c r="K251" i="65"/>
  <c r="L251" i="65"/>
  <c r="K252" i="65"/>
  <c r="L252" i="65"/>
  <c r="K253" i="65"/>
  <c r="L253" i="65"/>
  <c r="K254" i="65"/>
  <c r="L254" i="65"/>
  <c r="K255" i="65"/>
  <c r="L255" i="65"/>
  <c r="K256" i="65"/>
  <c r="L256" i="65"/>
  <c r="K257" i="65"/>
  <c r="L257" i="65"/>
  <c r="K258" i="65"/>
  <c r="L258" i="65"/>
  <c r="K259" i="65"/>
  <c r="L259" i="65"/>
  <c r="K260" i="65"/>
  <c r="L260" i="65"/>
  <c r="K261" i="65"/>
  <c r="L261" i="65"/>
  <c r="K262" i="65"/>
  <c r="L262" i="65"/>
  <c r="K263" i="65"/>
  <c r="L263" i="65"/>
  <c r="K264" i="65"/>
  <c r="L264" i="65"/>
  <c r="K265" i="65"/>
  <c r="L265" i="65"/>
  <c r="K266" i="65"/>
  <c r="L266" i="65"/>
  <c r="K267" i="65"/>
  <c r="L267" i="65"/>
  <c r="K268" i="65"/>
  <c r="L268" i="65"/>
  <c r="K269" i="65"/>
  <c r="L269" i="65"/>
  <c r="K270" i="65"/>
  <c r="L270" i="65"/>
  <c r="K271" i="65"/>
  <c r="L271" i="65"/>
  <c r="K272" i="65"/>
  <c r="L272" i="65"/>
  <c r="K273" i="65"/>
  <c r="L273" i="65"/>
  <c r="K274" i="65"/>
  <c r="L274" i="65"/>
  <c r="K275" i="65"/>
  <c r="L275" i="65"/>
  <c r="K276" i="65"/>
  <c r="L276" i="65"/>
  <c r="K277" i="65"/>
  <c r="L277" i="65"/>
  <c r="K278" i="65"/>
  <c r="L278" i="65"/>
  <c r="K279" i="65"/>
  <c r="L279" i="65"/>
  <c r="K280" i="65"/>
  <c r="L280" i="65"/>
  <c r="K281" i="65"/>
  <c r="L281" i="65"/>
  <c r="K282" i="65"/>
  <c r="L282" i="65"/>
  <c r="K283" i="65"/>
  <c r="L283" i="65"/>
  <c r="K284" i="65"/>
  <c r="L284" i="65"/>
  <c r="K285" i="65"/>
  <c r="L285" i="65"/>
  <c r="K286" i="65"/>
  <c r="L286" i="65"/>
  <c r="K287" i="65"/>
  <c r="L287" i="65"/>
  <c r="K288" i="65"/>
  <c r="L288" i="65"/>
  <c r="K289" i="65"/>
  <c r="L289" i="65"/>
  <c r="K290" i="65"/>
  <c r="L290" i="65"/>
  <c r="K291" i="65"/>
  <c r="L291" i="65"/>
  <c r="K292" i="65"/>
  <c r="L292" i="65"/>
  <c r="K293" i="65"/>
  <c r="L293" i="65"/>
  <c r="K294" i="65"/>
  <c r="L294" i="65"/>
  <c r="K295" i="65"/>
  <c r="L295" i="65"/>
  <c r="K296" i="65"/>
  <c r="L296" i="65"/>
  <c r="K297" i="65"/>
  <c r="L297" i="65"/>
  <c r="K298" i="65"/>
  <c r="L298" i="65"/>
  <c r="K299" i="65"/>
  <c r="L299" i="65"/>
  <c r="K300" i="65"/>
  <c r="L300" i="65"/>
  <c r="H307" i="65"/>
  <c r="H306" i="65"/>
  <c r="H305" i="65"/>
  <c r="H11" i="65"/>
  <c r="I11" i="65"/>
  <c r="H12" i="65"/>
  <c r="I12" i="65"/>
  <c r="H13" i="65"/>
  <c r="I13" i="65"/>
  <c r="H14" i="65"/>
  <c r="I14" i="65"/>
  <c r="H15" i="65"/>
  <c r="I15" i="65"/>
  <c r="H16" i="65"/>
  <c r="I16" i="65"/>
  <c r="H17" i="65"/>
  <c r="I17" i="65"/>
  <c r="H18" i="65"/>
  <c r="I18" i="65"/>
  <c r="H19" i="65"/>
  <c r="I19" i="65"/>
  <c r="H20" i="65"/>
  <c r="I20" i="65"/>
  <c r="H21" i="65"/>
  <c r="I21" i="65"/>
  <c r="H22" i="65"/>
  <c r="I22" i="65"/>
  <c r="H23" i="65"/>
  <c r="I23" i="65"/>
  <c r="H24" i="65"/>
  <c r="I24" i="65"/>
  <c r="H25" i="65"/>
  <c r="I25" i="65"/>
  <c r="H26" i="65"/>
  <c r="I26" i="65"/>
  <c r="H27" i="65"/>
  <c r="I27" i="65"/>
  <c r="H28" i="65"/>
  <c r="I28" i="65"/>
  <c r="H29" i="65"/>
  <c r="I29" i="65"/>
  <c r="H30" i="65"/>
  <c r="I30" i="65"/>
  <c r="H31" i="65"/>
  <c r="I31" i="65"/>
  <c r="H32" i="65"/>
  <c r="I32" i="65"/>
  <c r="H33" i="65"/>
  <c r="I33" i="65"/>
  <c r="H34" i="65"/>
  <c r="I34" i="65"/>
  <c r="H35" i="65"/>
  <c r="I35" i="65"/>
  <c r="H36" i="65"/>
  <c r="I36" i="65"/>
  <c r="H37" i="65"/>
  <c r="I37" i="65"/>
  <c r="H38" i="65"/>
  <c r="I38" i="65"/>
  <c r="H39" i="65"/>
  <c r="I39" i="65"/>
  <c r="H40" i="65"/>
  <c r="I40" i="65"/>
  <c r="H41" i="65"/>
  <c r="I41" i="65"/>
  <c r="H42" i="65"/>
  <c r="I42" i="65"/>
  <c r="H43" i="65"/>
  <c r="I43" i="65"/>
  <c r="H44" i="65"/>
  <c r="I44" i="65"/>
  <c r="H45" i="65"/>
  <c r="I45" i="65"/>
  <c r="H46" i="65"/>
  <c r="I46" i="65"/>
  <c r="H47" i="65"/>
  <c r="I47" i="65"/>
  <c r="H48" i="65"/>
  <c r="I48" i="65"/>
  <c r="H49" i="65"/>
  <c r="I49" i="65"/>
  <c r="H50" i="65"/>
  <c r="I50" i="65"/>
  <c r="H51" i="65"/>
  <c r="I51" i="65"/>
  <c r="H52" i="65"/>
  <c r="I52" i="65"/>
  <c r="H53" i="65"/>
  <c r="I53" i="65"/>
  <c r="H54" i="65"/>
  <c r="I54" i="65"/>
  <c r="H55" i="65"/>
  <c r="I55" i="65"/>
  <c r="H56" i="65"/>
  <c r="I56" i="65"/>
  <c r="H57" i="65"/>
  <c r="I57" i="65"/>
  <c r="H58" i="65"/>
  <c r="I58" i="65"/>
  <c r="H59" i="65"/>
  <c r="I59" i="65"/>
  <c r="H60" i="65"/>
  <c r="I60" i="65"/>
  <c r="H61" i="65"/>
  <c r="I61" i="65"/>
  <c r="H62" i="65"/>
  <c r="I62" i="65"/>
  <c r="H63" i="65"/>
  <c r="I63" i="65"/>
  <c r="H64" i="65"/>
  <c r="I64" i="65"/>
  <c r="H65" i="65"/>
  <c r="I65" i="65"/>
  <c r="H66" i="65"/>
  <c r="I66" i="65"/>
  <c r="H67" i="65"/>
  <c r="I67" i="65"/>
  <c r="H68" i="65"/>
  <c r="I68" i="65"/>
  <c r="H69" i="65"/>
  <c r="I69" i="65"/>
  <c r="H70" i="65"/>
  <c r="I70" i="65"/>
  <c r="H71" i="65"/>
  <c r="I71" i="65"/>
  <c r="H72" i="65"/>
  <c r="I72" i="65"/>
  <c r="H73" i="65"/>
  <c r="I73" i="65"/>
  <c r="H74" i="65"/>
  <c r="I74" i="65"/>
  <c r="H75" i="65"/>
  <c r="I75" i="65"/>
  <c r="H76" i="65"/>
  <c r="I76" i="65"/>
  <c r="H77" i="65"/>
  <c r="I77" i="65"/>
  <c r="H78" i="65"/>
  <c r="I78" i="65"/>
  <c r="H79" i="65"/>
  <c r="I79" i="65"/>
  <c r="H80" i="65"/>
  <c r="I80" i="65"/>
  <c r="H81" i="65"/>
  <c r="I81" i="65"/>
  <c r="H82" i="65"/>
  <c r="I82" i="65"/>
  <c r="H83" i="65"/>
  <c r="I83" i="65"/>
  <c r="H84" i="65"/>
  <c r="I84" i="65"/>
  <c r="H85" i="65"/>
  <c r="I85" i="65"/>
  <c r="H86" i="65"/>
  <c r="I86" i="65"/>
  <c r="H87" i="65"/>
  <c r="I87" i="65"/>
  <c r="H88" i="65"/>
  <c r="I88" i="65"/>
  <c r="H89" i="65"/>
  <c r="I89" i="65"/>
  <c r="H90" i="65"/>
  <c r="I90" i="65"/>
  <c r="H91" i="65"/>
  <c r="I91" i="65"/>
  <c r="H92" i="65"/>
  <c r="I92" i="65"/>
  <c r="H93" i="65"/>
  <c r="I93" i="65"/>
  <c r="H94" i="65"/>
  <c r="I94" i="65"/>
  <c r="H95" i="65"/>
  <c r="I95" i="65"/>
  <c r="H96" i="65"/>
  <c r="I96" i="65"/>
  <c r="H97" i="65"/>
  <c r="I97" i="65"/>
  <c r="H98" i="65"/>
  <c r="I98" i="65"/>
  <c r="H99" i="65"/>
  <c r="I99" i="65"/>
  <c r="H100" i="65"/>
  <c r="I100" i="65"/>
  <c r="H101" i="65"/>
  <c r="I101" i="65"/>
  <c r="H102" i="65"/>
  <c r="I102" i="65"/>
  <c r="H103" i="65"/>
  <c r="I103" i="65"/>
  <c r="H104" i="65"/>
  <c r="I104" i="65"/>
  <c r="H105" i="65"/>
  <c r="I105" i="65"/>
  <c r="H106" i="65"/>
  <c r="I106" i="65"/>
  <c r="H107" i="65"/>
  <c r="I107" i="65"/>
  <c r="H108" i="65"/>
  <c r="I108" i="65"/>
  <c r="H109" i="65"/>
  <c r="I109" i="65"/>
  <c r="H110" i="65"/>
  <c r="I110" i="65"/>
  <c r="H111" i="65"/>
  <c r="I111" i="65"/>
  <c r="H112" i="65"/>
  <c r="I112" i="65"/>
  <c r="H113" i="65"/>
  <c r="I113" i="65"/>
  <c r="H114" i="65"/>
  <c r="I114" i="65"/>
  <c r="H115" i="65"/>
  <c r="I115" i="65"/>
  <c r="H116" i="65"/>
  <c r="I116" i="65"/>
  <c r="H117" i="65"/>
  <c r="I117" i="65"/>
  <c r="H118" i="65"/>
  <c r="I118" i="65"/>
  <c r="H119" i="65"/>
  <c r="I119" i="65"/>
  <c r="H120" i="65"/>
  <c r="I120" i="65"/>
  <c r="H121" i="65"/>
  <c r="I121" i="65"/>
  <c r="H122" i="65"/>
  <c r="I122" i="65"/>
  <c r="H123" i="65"/>
  <c r="I123" i="65"/>
  <c r="H124" i="65"/>
  <c r="I124" i="65"/>
  <c r="H125" i="65"/>
  <c r="I125" i="65"/>
  <c r="H126" i="65"/>
  <c r="I126" i="65"/>
  <c r="H127" i="65"/>
  <c r="I127" i="65"/>
  <c r="H128" i="65"/>
  <c r="I128" i="65"/>
  <c r="H129" i="65"/>
  <c r="I129" i="65"/>
  <c r="H130" i="65"/>
  <c r="I130" i="65"/>
  <c r="H131" i="65"/>
  <c r="I131" i="65"/>
  <c r="H132" i="65"/>
  <c r="I132" i="65"/>
  <c r="H133" i="65"/>
  <c r="I133" i="65"/>
  <c r="H134" i="65"/>
  <c r="I134" i="65"/>
  <c r="H135" i="65"/>
  <c r="I135" i="65"/>
  <c r="H136" i="65"/>
  <c r="I136" i="65"/>
  <c r="H137" i="65"/>
  <c r="I137" i="65"/>
  <c r="H138" i="65"/>
  <c r="I138" i="65"/>
  <c r="H139" i="65"/>
  <c r="I139" i="65"/>
  <c r="H140" i="65"/>
  <c r="I140" i="65"/>
  <c r="H141" i="65"/>
  <c r="I141" i="65"/>
  <c r="H142" i="65"/>
  <c r="I142" i="65"/>
  <c r="H143" i="65"/>
  <c r="I143" i="65"/>
  <c r="H144" i="65"/>
  <c r="I144" i="65"/>
  <c r="H145" i="65"/>
  <c r="I145" i="65"/>
  <c r="H146" i="65"/>
  <c r="I146" i="65"/>
  <c r="H147" i="65"/>
  <c r="I147" i="65"/>
  <c r="H148" i="65"/>
  <c r="I148" i="65"/>
  <c r="H149" i="65"/>
  <c r="I149" i="65"/>
  <c r="H150" i="65"/>
  <c r="I150" i="65"/>
  <c r="H151" i="65"/>
  <c r="I151" i="65"/>
  <c r="H152" i="65"/>
  <c r="I152" i="65"/>
  <c r="H153" i="65"/>
  <c r="I153" i="65"/>
  <c r="H154" i="65"/>
  <c r="I154" i="65"/>
  <c r="H155" i="65"/>
  <c r="I155" i="65"/>
  <c r="H156" i="65"/>
  <c r="I156" i="65"/>
  <c r="H157" i="65"/>
  <c r="I157" i="65"/>
  <c r="H158" i="65"/>
  <c r="I158" i="65"/>
  <c r="H159" i="65"/>
  <c r="I159" i="65"/>
  <c r="H160" i="65"/>
  <c r="I160" i="65"/>
  <c r="H161" i="65"/>
  <c r="I161" i="65"/>
  <c r="H162" i="65"/>
  <c r="I162" i="65"/>
  <c r="H163" i="65"/>
  <c r="I163" i="65"/>
  <c r="H164" i="65"/>
  <c r="I164" i="65"/>
  <c r="H165" i="65"/>
  <c r="I165" i="65"/>
  <c r="H166" i="65"/>
  <c r="I166" i="65"/>
  <c r="H167" i="65"/>
  <c r="I167" i="65"/>
  <c r="H168" i="65"/>
  <c r="I168" i="65"/>
  <c r="H169" i="65"/>
  <c r="I169" i="65"/>
  <c r="H170" i="65"/>
  <c r="I170" i="65"/>
  <c r="H171" i="65"/>
  <c r="I171" i="65"/>
  <c r="H172" i="65"/>
  <c r="I172" i="65"/>
  <c r="H173" i="65"/>
  <c r="I173" i="65"/>
  <c r="H174" i="65"/>
  <c r="I174" i="65"/>
  <c r="H175" i="65"/>
  <c r="I175" i="65"/>
  <c r="H176" i="65"/>
  <c r="I176" i="65"/>
  <c r="H177" i="65"/>
  <c r="I177" i="65"/>
  <c r="H178" i="65"/>
  <c r="I178" i="65"/>
  <c r="H179" i="65"/>
  <c r="I179" i="65"/>
  <c r="H180" i="65"/>
  <c r="I180" i="65"/>
  <c r="H181" i="65"/>
  <c r="I181" i="65"/>
  <c r="H182" i="65"/>
  <c r="I182" i="65"/>
  <c r="H183" i="65"/>
  <c r="I183" i="65"/>
  <c r="H184" i="65"/>
  <c r="I184" i="65"/>
  <c r="H185" i="65"/>
  <c r="I185" i="65"/>
  <c r="H186" i="65"/>
  <c r="I186" i="65"/>
  <c r="H187" i="65"/>
  <c r="I187" i="65"/>
  <c r="H188" i="65"/>
  <c r="I188" i="65"/>
  <c r="H189" i="65"/>
  <c r="I189" i="65"/>
  <c r="H190" i="65"/>
  <c r="I190" i="65"/>
  <c r="H191" i="65"/>
  <c r="I191" i="65"/>
  <c r="H192" i="65"/>
  <c r="I192" i="65"/>
  <c r="H193" i="65"/>
  <c r="I193" i="65"/>
  <c r="H194" i="65"/>
  <c r="I194" i="65"/>
  <c r="H195" i="65"/>
  <c r="I195" i="65"/>
  <c r="H196" i="65"/>
  <c r="I196" i="65"/>
  <c r="H197" i="65"/>
  <c r="I197" i="65"/>
  <c r="H198" i="65"/>
  <c r="I198" i="65"/>
  <c r="H199" i="65"/>
  <c r="I199" i="65"/>
  <c r="H200" i="65"/>
  <c r="I200" i="65"/>
  <c r="H201" i="65"/>
  <c r="I201" i="65"/>
  <c r="H202" i="65"/>
  <c r="I202" i="65"/>
  <c r="H203" i="65"/>
  <c r="I203" i="65"/>
  <c r="H204" i="65"/>
  <c r="I204" i="65"/>
  <c r="H205" i="65"/>
  <c r="I205" i="65"/>
  <c r="H206" i="65"/>
  <c r="I206" i="65"/>
  <c r="H207" i="65"/>
  <c r="I207" i="65"/>
  <c r="H208" i="65"/>
  <c r="I208" i="65"/>
  <c r="H209" i="65"/>
  <c r="I209" i="65"/>
  <c r="H210" i="65"/>
  <c r="I210" i="65"/>
  <c r="H211" i="65"/>
  <c r="I211" i="65"/>
  <c r="H212" i="65"/>
  <c r="I212" i="65"/>
  <c r="H213" i="65"/>
  <c r="I213" i="65"/>
  <c r="H214" i="65"/>
  <c r="I214" i="65"/>
  <c r="H215" i="65"/>
  <c r="I215" i="65"/>
  <c r="H216" i="65"/>
  <c r="I216" i="65"/>
  <c r="H217" i="65"/>
  <c r="I217" i="65"/>
  <c r="H218" i="65"/>
  <c r="I218" i="65"/>
  <c r="H219" i="65"/>
  <c r="I219" i="65"/>
  <c r="H220" i="65"/>
  <c r="I220" i="65"/>
  <c r="H221" i="65"/>
  <c r="I221" i="65"/>
  <c r="H222" i="65"/>
  <c r="I222" i="65"/>
  <c r="H223" i="65"/>
  <c r="I223" i="65"/>
  <c r="H224" i="65"/>
  <c r="I224" i="65"/>
  <c r="H225" i="65"/>
  <c r="I225" i="65"/>
  <c r="H226" i="65"/>
  <c r="I226" i="65"/>
  <c r="H227" i="65"/>
  <c r="I227" i="65"/>
  <c r="H228" i="65"/>
  <c r="I228" i="65"/>
  <c r="H229" i="65"/>
  <c r="I229" i="65"/>
  <c r="H230" i="65"/>
  <c r="I230" i="65"/>
  <c r="H231" i="65"/>
  <c r="I231" i="65"/>
  <c r="H232" i="65"/>
  <c r="I232" i="65"/>
  <c r="H233" i="65"/>
  <c r="I233" i="65"/>
  <c r="H234" i="65"/>
  <c r="I234" i="65"/>
  <c r="H235" i="65"/>
  <c r="I235" i="65"/>
  <c r="H236" i="65"/>
  <c r="I236" i="65"/>
  <c r="H237" i="65"/>
  <c r="I237" i="65"/>
  <c r="H238" i="65"/>
  <c r="I238" i="65"/>
  <c r="H239" i="65"/>
  <c r="I239" i="65"/>
  <c r="H240" i="65"/>
  <c r="I240" i="65"/>
  <c r="H241" i="65"/>
  <c r="I241" i="65"/>
  <c r="H242" i="65"/>
  <c r="I242" i="65"/>
  <c r="H243" i="65"/>
  <c r="I243" i="65"/>
  <c r="H244" i="65"/>
  <c r="I244" i="65"/>
  <c r="H245" i="65"/>
  <c r="I245" i="65"/>
  <c r="H246" i="65"/>
  <c r="I246" i="65"/>
  <c r="H247" i="65"/>
  <c r="I247" i="65"/>
  <c r="H248" i="65"/>
  <c r="I248" i="65"/>
  <c r="H249" i="65"/>
  <c r="I249" i="65"/>
  <c r="H250" i="65"/>
  <c r="I250" i="65"/>
  <c r="H251" i="65"/>
  <c r="I251" i="65"/>
  <c r="H252" i="65"/>
  <c r="I252" i="65"/>
  <c r="H253" i="65"/>
  <c r="I253" i="65"/>
  <c r="H254" i="65"/>
  <c r="I254" i="65"/>
  <c r="H255" i="65"/>
  <c r="I255" i="65"/>
  <c r="H256" i="65"/>
  <c r="I256" i="65"/>
  <c r="H257" i="65"/>
  <c r="I257" i="65"/>
  <c r="H258" i="65"/>
  <c r="I258" i="65"/>
  <c r="H259" i="65"/>
  <c r="I259" i="65"/>
  <c r="H260" i="65"/>
  <c r="I260" i="65"/>
  <c r="H261" i="65"/>
  <c r="I261" i="65"/>
  <c r="H262" i="65"/>
  <c r="I262" i="65"/>
  <c r="H263" i="65"/>
  <c r="I263" i="65"/>
  <c r="H264" i="65"/>
  <c r="I264" i="65"/>
  <c r="H265" i="65"/>
  <c r="I265" i="65"/>
  <c r="H266" i="65"/>
  <c r="I266" i="65"/>
  <c r="H267" i="65"/>
  <c r="I267" i="65"/>
  <c r="H268" i="65"/>
  <c r="I268" i="65"/>
  <c r="H269" i="65"/>
  <c r="I269" i="65"/>
  <c r="H270" i="65"/>
  <c r="I270" i="65"/>
  <c r="H271" i="65"/>
  <c r="I271" i="65"/>
  <c r="H272" i="65"/>
  <c r="I272" i="65"/>
  <c r="H273" i="65"/>
  <c r="I273" i="65"/>
  <c r="H274" i="65"/>
  <c r="I274" i="65"/>
  <c r="H275" i="65"/>
  <c r="I275" i="65"/>
  <c r="H276" i="65"/>
  <c r="I276" i="65"/>
  <c r="H277" i="65"/>
  <c r="I277" i="65"/>
  <c r="H278" i="65"/>
  <c r="I278" i="65"/>
  <c r="H279" i="65"/>
  <c r="I279" i="65"/>
  <c r="H280" i="65"/>
  <c r="I280" i="65"/>
  <c r="H281" i="65"/>
  <c r="I281" i="65"/>
  <c r="H282" i="65"/>
  <c r="I282" i="65"/>
  <c r="H283" i="65"/>
  <c r="I283" i="65"/>
  <c r="H284" i="65"/>
  <c r="I284" i="65"/>
  <c r="H285" i="65"/>
  <c r="I285" i="65"/>
  <c r="H286" i="65"/>
  <c r="I286" i="65"/>
  <c r="H287" i="65"/>
  <c r="I287" i="65"/>
  <c r="H288" i="65"/>
  <c r="I288" i="65"/>
  <c r="H289" i="65"/>
  <c r="I289" i="65"/>
  <c r="H290" i="65"/>
  <c r="I290" i="65"/>
  <c r="H291" i="65"/>
  <c r="I291" i="65"/>
  <c r="H292" i="65"/>
  <c r="I292" i="65"/>
  <c r="H293" i="65"/>
  <c r="I293" i="65"/>
  <c r="H294" i="65"/>
  <c r="I294" i="65"/>
  <c r="H295" i="65"/>
  <c r="I295" i="65"/>
  <c r="H296" i="65"/>
  <c r="I296" i="65"/>
  <c r="H297" i="65"/>
  <c r="I297" i="65"/>
  <c r="H298" i="65"/>
  <c r="I298" i="65"/>
  <c r="H299" i="65"/>
  <c r="I299" i="65"/>
  <c r="H300" i="65"/>
  <c r="I300" i="65"/>
  <c r="F309" i="65"/>
  <c r="F307" i="65"/>
  <c r="F306" i="65"/>
  <c r="F305" i="65"/>
  <c r="F308" i="65" l="1"/>
  <c r="F310" i="65" s="1"/>
  <c r="F318" i="65" s="1"/>
  <c r="K308" i="65"/>
  <c r="K310" i="65" s="1"/>
  <c r="K320" i="65" s="1"/>
  <c r="H308" i="65"/>
  <c r="H310" i="65" s="1"/>
  <c r="F10" i="65"/>
  <c r="F11" i="65"/>
  <c r="F12" i="65"/>
  <c r="F13" i="65"/>
  <c r="F14" i="65"/>
  <c r="F15" i="65"/>
  <c r="F16" i="65"/>
  <c r="F17" i="65"/>
  <c r="F18" i="65"/>
  <c r="F19" i="65"/>
  <c r="F20" i="65"/>
  <c r="F21" i="65"/>
  <c r="F22" i="65"/>
  <c r="F23" i="65"/>
  <c r="F24" i="65"/>
  <c r="F25" i="65"/>
  <c r="F26" i="65"/>
  <c r="F27" i="65"/>
  <c r="F28" i="65"/>
  <c r="F29" i="65"/>
  <c r="F30" i="65"/>
  <c r="F31" i="65"/>
  <c r="F32" i="65"/>
  <c r="F33" i="65"/>
  <c r="F34" i="65"/>
  <c r="F35" i="65"/>
  <c r="F36" i="65"/>
  <c r="F37" i="65"/>
  <c r="F38" i="65"/>
  <c r="F39" i="65"/>
  <c r="F40" i="65"/>
  <c r="F41" i="65"/>
  <c r="F42" i="65"/>
  <c r="F43" i="65"/>
  <c r="F44" i="65"/>
  <c r="F45" i="65"/>
  <c r="F46" i="65"/>
  <c r="F47" i="65"/>
  <c r="F48" i="65"/>
  <c r="F49" i="65"/>
  <c r="F50" i="65"/>
  <c r="F51" i="65"/>
  <c r="F52" i="65"/>
  <c r="F53" i="65"/>
  <c r="F54" i="65"/>
  <c r="F55" i="65"/>
  <c r="F56" i="65"/>
  <c r="F57" i="65"/>
  <c r="F58" i="65"/>
  <c r="F59" i="65"/>
  <c r="F60" i="65"/>
  <c r="F61" i="65"/>
  <c r="F62" i="65"/>
  <c r="F63" i="65"/>
  <c r="F64" i="65"/>
  <c r="F65" i="65"/>
  <c r="F66" i="65"/>
  <c r="F67" i="65"/>
  <c r="F68" i="65"/>
  <c r="F69" i="65"/>
  <c r="F70" i="65"/>
  <c r="F71" i="65"/>
  <c r="F72" i="65"/>
  <c r="F73" i="65"/>
  <c r="F74" i="65"/>
  <c r="F75" i="65"/>
  <c r="F76" i="65"/>
  <c r="F77" i="65"/>
  <c r="F78" i="65"/>
  <c r="F79" i="65"/>
  <c r="F80" i="65"/>
  <c r="F81" i="65"/>
  <c r="F82" i="65"/>
  <c r="F83" i="65"/>
  <c r="F84" i="65"/>
  <c r="F85" i="65"/>
  <c r="F86" i="65"/>
  <c r="F87" i="65"/>
  <c r="F88" i="65"/>
  <c r="F89" i="65"/>
  <c r="F90" i="65"/>
  <c r="F91" i="65"/>
  <c r="F92" i="65"/>
  <c r="F93" i="65"/>
  <c r="F94" i="65"/>
  <c r="F95" i="65"/>
  <c r="F96" i="65"/>
  <c r="F97" i="65"/>
  <c r="F98" i="65"/>
  <c r="F99" i="65"/>
  <c r="F100" i="65"/>
  <c r="F101" i="65"/>
  <c r="F102" i="65"/>
  <c r="F103" i="65"/>
  <c r="F104" i="65"/>
  <c r="F105" i="65"/>
  <c r="F106" i="65"/>
  <c r="F107" i="65"/>
  <c r="F108" i="65"/>
  <c r="F109" i="65"/>
  <c r="F110" i="65"/>
  <c r="F111" i="65"/>
  <c r="F112" i="65"/>
  <c r="F113" i="65"/>
  <c r="F114" i="65"/>
  <c r="F115" i="65"/>
  <c r="F116" i="65"/>
  <c r="F117" i="65"/>
  <c r="F118" i="65"/>
  <c r="F119" i="65"/>
  <c r="F120" i="65"/>
  <c r="F121" i="65"/>
  <c r="F122" i="65"/>
  <c r="F123" i="65"/>
  <c r="F124" i="65"/>
  <c r="F125" i="65"/>
  <c r="F126" i="65"/>
  <c r="F127" i="65"/>
  <c r="F128" i="65"/>
  <c r="F129" i="65"/>
  <c r="F130" i="65"/>
  <c r="F131" i="65"/>
  <c r="F132" i="65"/>
  <c r="F133" i="65"/>
  <c r="F134" i="65"/>
  <c r="F135" i="65"/>
  <c r="F136" i="65"/>
  <c r="F137" i="65"/>
  <c r="F138" i="65"/>
  <c r="F139" i="65"/>
  <c r="F140" i="65"/>
  <c r="F141" i="65"/>
  <c r="F142" i="65"/>
  <c r="F143" i="65"/>
  <c r="F144" i="65"/>
  <c r="F145" i="65"/>
  <c r="F146" i="65"/>
  <c r="F147" i="65"/>
  <c r="F148" i="65"/>
  <c r="F149" i="65"/>
  <c r="F150" i="65"/>
  <c r="F151" i="65"/>
  <c r="F152" i="65"/>
  <c r="F153" i="65"/>
  <c r="F154" i="65"/>
  <c r="F155" i="65"/>
  <c r="F156" i="65"/>
  <c r="F157" i="65"/>
  <c r="F158" i="65"/>
  <c r="F159" i="65"/>
  <c r="F160" i="65"/>
  <c r="F161" i="65"/>
  <c r="F162" i="65"/>
  <c r="F163" i="65"/>
  <c r="F164" i="65"/>
  <c r="F165" i="65"/>
  <c r="F166" i="65"/>
  <c r="F167" i="65"/>
  <c r="F168" i="65"/>
  <c r="F169" i="65"/>
  <c r="F170" i="65"/>
  <c r="F171" i="65"/>
  <c r="F172" i="65"/>
  <c r="F173" i="65"/>
  <c r="F174" i="65"/>
  <c r="F175" i="65"/>
  <c r="F176" i="65"/>
  <c r="F177" i="65"/>
  <c r="F178" i="65"/>
  <c r="F179" i="65"/>
  <c r="F180" i="65"/>
  <c r="F181" i="65"/>
  <c r="F182" i="65"/>
  <c r="F183" i="65"/>
  <c r="F184" i="65"/>
  <c r="F185" i="65"/>
  <c r="F186" i="65"/>
  <c r="F187" i="65"/>
  <c r="F188" i="65"/>
  <c r="F189" i="65"/>
  <c r="F190" i="65"/>
  <c r="F191" i="65"/>
  <c r="F192" i="65"/>
  <c r="F193" i="65"/>
  <c r="F194" i="65"/>
  <c r="F195" i="65"/>
  <c r="F196" i="65"/>
  <c r="F197" i="65"/>
  <c r="F198" i="65"/>
  <c r="F199" i="65"/>
  <c r="F200" i="65"/>
  <c r="F201" i="65"/>
  <c r="F202" i="65"/>
  <c r="F203" i="65"/>
  <c r="F204" i="65"/>
  <c r="F205" i="65"/>
  <c r="F206" i="65"/>
  <c r="F207" i="65"/>
  <c r="F208" i="65"/>
  <c r="F209" i="65"/>
  <c r="F210" i="65"/>
  <c r="F211" i="65"/>
  <c r="F212" i="65"/>
  <c r="F213" i="65"/>
  <c r="F214" i="65"/>
  <c r="F215" i="65"/>
  <c r="F216" i="65"/>
  <c r="F217" i="65"/>
  <c r="F218" i="65"/>
  <c r="F219" i="65"/>
  <c r="F220" i="65"/>
  <c r="F221" i="65"/>
  <c r="F222" i="65"/>
  <c r="F223" i="65"/>
  <c r="F224" i="65"/>
  <c r="F225" i="65"/>
  <c r="F226" i="65"/>
  <c r="F227" i="65"/>
  <c r="F228" i="65"/>
  <c r="F229" i="65"/>
  <c r="F230" i="65"/>
  <c r="F231" i="65"/>
  <c r="F232" i="65"/>
  <c r="F233" i="65"/>
  <c r="F234" i="65"/>
  <c r="F235" i="65"/>
  <c r="F236" i="65"/>
  <c r="F237" i="65"/>
  <c r="F238" i="65"/>
  <c r="F239" i="65"/>
  <c r="F240" i="65"/>
  <c r="F241" i="65"/>
  <c r="F242" i="65"/>
  <c r="F243" i="65"/>
  <c r="F244" i="65"/>
  <c r="F245" i="65"/>
  <c r="F246" i="65"/>
  <c r="F247" i="65"/>
  <c r="F248" i="65"/>
  <c r="F249" i="65"/>
  <c r="F250" i="65"/>
  <c r="F251" i="65"/>
  <c r="F252" i="65"/>
  <c r="F253" i="65"/>
  <c r="F254" i="65"/>
  <c r="F255" i="65"/>
  <c r="F256" i="65"/>
  <c r="F257" i="65"/>
  <c r="F258" i="65"/>
  <c r="F259" i="65"/>
  <c r="F260" i="65"/>
  <c r="F261" i="65"/>
  <c r="F262" i="65"/>
  <c r="F263" i="65"/>
  <c r="F264" i="65"/>
  <c r="F265" i="65"/>
  <c r="F266" i="65"/>
  <c r="F267" i="65"/>
  <c r="F268" i="65"/>
  <c r="F269" i="65"/>
  <c r="F270" i="65"/>
  <c r="F271" i="65"/>
  <c r="F272" i="65"/>
  <c r="F273" i="65"/>
  <c r="F274" i="65"/>
  <c r="F275" i="65"/>
  <c r="F276" i="65"/>
  <c r="F277" i="65"/>
  <c r="F278" i="65"/>
  <c r="F279" i="65"/>
  <c r="F280" i="65"/>
  <c r="F281" i="65"/>
  <c r="F282" i="65"/>
  <c r="F283" i="65"/>
  <c r="F284" i="65"/>
  <c r="F285" i="65"/>
  <c r="F286" i="65"/>
  <c r="F287" i="65"/>
  <c r="F288" i="65"/>
  <c r="F289" i="65"/>
  <c r="F290" i="65"/>
  <c r="F291" i="65"/>
  <c r="F292" i="65"/>
  <c r="F293" i="65"/>
  <c r="F294" i="65"/>
  <c r="F295" i="65"/>
  <c r="F296" i="65"/>
  <c r="F297" i="65"/>
  <c r="F298" i="65"/>
  <c r="F299" i="65"/>
  <c r="F300" i="65"/>
  <c r="C308" i="65"/>
  <c r="I308" i="65" s="1"/>
  <c r="L320" i="65" l="1"/>
  <c r="K321" i="65"/>
  <c r="H320" i="65"/>
  <c r="I320" i="65" l="1"/>
  <c r="H321" i="65"/>
  <c r="I321" i="65" s="1"/>
  <c r="L10" i="65" l="1"/>
  <c r="K10" i="65"/>
  <c r="I10" i="65"/>
  <c r="H10" i="65"/>
  <c r="L9" i="65"/>
  <c r="K9" i="65"/>
  <c r="I9" i="65"/>
  <c r="H9" i="65"/>
  <c r="H302" i="65" s="1"/>
  <c r="F9" i="65"/>
  <c r="F302" i="65" s="1"/>
  <c r="K302" i="65" l="1"/>
  <c r="L308" i="65"/>
  <c r="K323" i="65" l="1"/>
  <c r="K324" i="65" s="1"/>
  <c r="L324" i="65" s="1"/>
  <c r="H323" i="65" l="1"/>
  <c r="H324" i="65" s="1"/>
  <c r="I324" i="65" s="1"/>
  <c r="G326" i="65"/>
  <c r="L321" i="65"/>
  <c r="J326" i="65" l="1"/>
  <c r="J10" i="60" l="1"/>
  <c r="G10" i="60"/>
  <c r="D10" i="60"/>
  <c r="D52" i="57"/>
  <c r="E11" i="60"/>
  <c r="P89" i="33" l="1"/>
  <c r="L77" i="33"/>
  <c r="L89" i="33"/>
  <c r="H89" i="33"/>
  <c r="P77" i="33"/>
  <c r="H53" i="33"/>
  <c r="L65" i="33"/>
  <c r="H65" i="33"/>
  <c r="G2" i="33"/>
  <c r="H77" i="33" l="1"/>
  <c r="G4" i="33"/>
  <c r="P65" i="33"/>
  <c r="K4" i="33"/>
  <c r="H4" i="33" l="1"/>
  <c r="D17" i="57"/>
  <c r="C17" i="57" s="1"/>
  <c r="D18" i="57"/>
  <c r="C18" i="57" s="1"/>
  <c r="H15" i="33"/>
  <c r="L15" i="33"/>
  <c r="P15" i="33"/>
  <c r="L4" i="33"/>
  <c r="F17" i="57"/>
  <c r="E17" i="57" s="1"/>
  <c r="O2" i="33"/>
  <c r="K2" i="33"/>
  <c r="B63" i="57" l="1"/>
  <c r="B65" i="57" l="1"/>
  <c r="B66" i="57" s="1"/>
  <c r="B61" i="57"/>
  <c r="B58" i="57"/>
  <c r="B62" i="57" l="1"/>
  <c r="D51" i="57"/>
  <c r="D53" i="5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Guillermo</author>
  </authors>
  <commentList>
    <comment ref="U17" authorId="0" shapeId="0" xr:uid="{00000000-0006-0000-0300-000001000000}">
      <text>
        <r>
          <rPr>
            <sz val="9"/>
            <color indexed="81"/>
            <rFont val="Tahoma"/>
            <family val="2"/>
          </rPr>
          <t>La capacidad técnica (CT) se asigna teniendo en cuenta el número de socios
y profesionales de la arquitectura, ingeniería y geología vinculados mediante
una relación laboral o contractual conforme a la cual desarrollen actividades
relacionadas directamente a la construcción.</t>
        </r>
      </text>
    </comment>
    <comment ref="W17" authorId="0" shapeId="0" xr:uid="{00000000-0006-0000-0300-000002000000}">
      <text>
        <r>
          <rPr>
            <sz val="9"/>
            <color indexed="81"/>
            <rFont val="Tahoma"/>
            <family val="2"/>
          </rPr>
          <t xml:space="preserve">      </t>
        </r>
        <r>
          <rPr>
            <b/>
            <sz val="9"/>
            <color indexed="81"/>
            <rFont val="Tahoma"/>
            <family val="2"/>
          </rPr>
          <t xml:space="preserve"> Años de información financiera  </t>
        </r>
        <r>
          <rPr>
            <sz val="9"/>
            <color indexed="81"/>
            <rFont val="Tahoma"/>
            <family val="2"/>
          </rPr>
          <t xml:space="preserve">                      </t>
        </r>
        <r>
          <rPr>
            <b/>
            <sz val="9"/>
            <color indexed="81"/>
            <rFont val="Tahoma"/>
            <family val="2"/>
          </rPr>
          <t>Capacidad de organización (CO)</t>
        </r>
        <r>
          <rPr>
            <sz val="9"/>
            <color indexed="81"/>
            <rFont val="Tahoma"/>
            <family val="2"/>
          </rPr>
          <t xml:space="preserve">
1.      Cinco (5) años o más                     Mayor ingreso operacional de los últimos cinco años 
2.      Entre uno (1) y cinco (5) años    Mayor ingreso operacional de los años de vida del oferente.
3.      Menos de un (1) año                                                   USD 125.000
NOTA: Si los ingresos operacionales del proponente con uno (1) o más años de
información financiera es menor a USD125.000, la Capacidad de organización
(CO) del proponente es igual a USD125.000.</t>
        </r>
      </text>
    </comment>
    <comment ref="U76" authorId="0" shapeId="0" xr:uid="{00000000-0006-0000-0300-000003000000}">
      <text>
        <r>
          <rPr>
            <sz val="9"/>
            <color indexed="81"/>
            <rFont val="Tahoma"/>
            <family val="2"/>
          </rPr>
          <t>La capacidad técnica (CT) se asigna teniendo en cuenta el número de socios
y profesionales de la arquitectura, ingeniería y geología vinculados mediante una relación laboral o contractual conforme a la cual desarrollen actividades
relacionadas directamente a la construcción.</t>
        </r>
      </text>
    </comment>
    <comment ref="W76" authorId="0" shapeId="0" xr:uid="{00000000-0006-0000-0300-000004000000}">
      <text>
        <r>
          <rPr>
            <sz val="9"/>
            <color indexed="81"/>
            <rFont val="Tahoma"/>
            <family val="2"/>
          </rPr>
          <t xml:space="preserve">      </t>
        </r>
        <r>
          <rPr>
            <b/>
            <sz val="9"/>
            <color indexed="81"/>
            <rFont val="Tahoma"/>
            <family val="2"/>
          </rPr>
          <t xml:space="preserve"> Años de información financiera  </t>
        </r>
        <r>
          <rPr>
            <sz val="9"/>
            <color indexed="81"/>
            <rFont val="Tahoma"/>
            <family val="2"/>
          </rPr>
          <t xml:space="preserve">                      </t>
        </r>
        <r>
          <rPr>
            <b/>
            <sz val="9"/>
            <color indexed="81"/>
            <rFont val="Tahoma"/>
            <family val="2"/>
          </rPr>
          <t>Capacidad de organización (CO)</t>
        </r>
        <r>
          <rPr>
            <sz val="9"/>
            <color indexed="81"/>
            <rFont val="Tahoma"/>
            <family val="2"/>
          </rPr>
          <t xml:space="preserve">
1.      Cinco (5) años o más                     Mayor ingreso operacional de los últimos cinco años 
2.      Entre uno (1) y cinco (5) años    Mayor ingreso operacional de los años de vida del oferente.
3.      Menos de un (1) año                                                   USD 125.000
NOTA: Si los ingresos operacionales del proponente con uno (1) o más años de
información financiera es menor a USD125.000, la Capacidad de organización
(CO) del proponente es igual a USD125.000.</t>
        </r>
      </text>
    </comment>
    <comment ref="U121" authorId="0" shapeId="0" xr:uid="{00000000-0006-0000-0300-000005000000}">
      <text>
        <r>
          <rPr>
            <sz val="9"/>
            <color indexed="81"/>
            <rFont val="Tahoma"/>
            <family val="2"/>
          </rPr>
          <t>La capacidad técnica (CT) se asigna teniendo en cuenta el número de socios
y profesionales de la arquitectura, ingeniería y geología vinculados mediante una relación laboral o contractual conforme a la cual desarrollen actividades
relacionadas directamente a la construcción.</t>
        </r>
      </text>
    </comment>
    <comment ref="W121" authorId="0" shapeId="0" xr:uid="{00000000-0006-0000-0300-000006000000}">
      <text>
        <r>
          <rPr>
            <sz val="9"/>
            <color indexed="81"/>
            <rFont val="Tahoma"/>
            <family val="2"/>
          </rPr>
          <t xml:space="preserve">      </t>
        </r>
        <r>
          <rPr>
            <b/>
            <sz val="9"/>
            <color indexed="81"/>
            <rFont val="Tahoma"/>
            <family val="2"/>
          </rPr>
          <t xml:space="preserve"> Años de información financiera  </t>
        </r>
        <r>
          <rPr>
            <sz val="9"/>
            <color indexed="81"/>
            <rFont val="Tahoma"/>
            <family val="2"/>
          </rPr>
          <t xml:space="preserve">                      </t>
        </r>
        <r>
          <rPr>
            <b/>
            <sz val="9"/>
            <color indexed="81"/>
            <rFont val="Tahoma"/>
            <family val="2"/>
          </rPr>
          <t>Capacidad de organización (CO)</t>
        </r>
        <r>
          <rPr>
            <sz val="9"/>
            <color indexed="81"/>
            <rFont val="Tahoma"/>
            <family val="2"/>
          </rPr>
          <t xml:space="preserve">
1.      Cinco (5) años o más                     Mayor ingreso operacional de los últimos cinco años 
2.      Entre uno (1) y cinco (5) años    Mayor ingreso operacional de los años de vida del oferente.
3.      Menos de un (1) año                                                   USD 125.000
NOTA: Si los ingresos operacionales del proponente con uno (1) o más años de
información financiera es menor a USD125.000, la Capacidad de organización
(CO) del proponente es igual a USD125.000.</t>
        </r>
      </text>
    </comment>
  </commentList>
</comments>
</file>

<file path=xl/sharedStrings.xml><?xml version="1.0" encoding="utf-8"?>
<sst xmlns="http://schemas.openxmlformats.org/spreadsheetml/2006/main" count="2118" uniqueCount="985">
  <si>
    <t>ITEM</t>
  </si>
  <si>
    <t>CANT.</t>
  </si>
  <si>
    <t>UND</t>
  </si>
  <si>
    <t>COSTOS DIRECTOS</t>
  </si>
  <si>
    <t>Utilidad</t>
  </si>
  <si>
    <t>TOTAL AUI</t>
  </si>
  <si>
    <t>Iva sobre utilidad</t>
  </si>
  <si>
    <t>M2</t>
  </si>
  <si>
    <t>VR.UNITARIO</t>
  </si>
  <si>
    <t>VR.TOTAL</t>
  </si>
  <si>
    <t>DESCRIPCION ACTIVIDAD</t>
  </si>
  <si>
    <t>M3</t>
  </si>
  <si>
    <t>Administración</t>
  </si>
  <si>
    <t>Imprevistos</t>
  </si>
  <si>
    <t>UNIVERSIDAD DEL CAUCA</t>
  </si>
  <si>
    <t>OK</t>
  </si>
  <si>
    <t>PROPONENTE</t>
  </si>
  <si>
    <t>OFICIAL</t>
  </si>
  <si>
    <t>VALOR TOTAL EJECUTADO (VTE)</t>
  </si>
  <si>
    <t>VTE1</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</si>
  <si>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</si>
  <si>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</si>
  <si>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</si>
  <si>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</si>
  <si>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</si>
  <si>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</si>
  <si>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</si>
  <si>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</si>
  <si>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</si>
  <si>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</si>
  <si>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</si>
  <si>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</si>
  <si>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</si>
  <si>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</si>
  <si>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CONCEPTO</t>
  </si>
  <si>
    <t>ORIGINAL FIRMADO</t>
  </si>
  <si>
    <t>CARLOS JULIO ZUÑIGA SANCHEZ</t>
  </si>
  <si>
    <t>CIELO PEREZ SOLANO</t>
  </si>
  <si>
    <t>Presidenta Junta de Licitaciones y Contratos</t>
  </si>
  <si>
    <t>Vicerrectora Administrativa</t>
  </si>
  <si>
    <t>VERIFICACIÓN REQUISITOS TECNICOS HABILITANTES</t>
  </si>
  <si>
    <t>2.3.</t>
  </si>
  <si>
    <t>2.3.1.</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</si>
  <si>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</si>
  <si>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</si>
  <si>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</si>
  <si>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</si>
  <si>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</si>
  <si>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</si>
  <si>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</si>
  <si>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</si>
  <si>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</si>
  <si>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</si>
  <si>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</si>
  <si>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</si>
  <si>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</si>
  <si>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</si>
  <si>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</si>
  <si>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</si>
  <si>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</si>
  <si>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</si>
  <si>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</si>
  <si>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</si>
  <si>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</si>
  <si>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</si>
  <si>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</si>
  <si>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</si>
  <si>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</si>
  <si>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</si>
  <si>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</si>
  <si>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</si>
  <si>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</si>
  <si>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</si>
  <si>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CONTRATO 4</t>
  </si>
  <si>
    <t>UNSPSC</t>
  </si>
  <si>
    <t>EXPERIENCIA ESPECÍFICA DEL PROPONENTE</t>
  </si>
  <si>
    <t>2.3.3</t>
  </si>
  <si>
    <t>ÍTEM</t>
  </si>
  <si>
    <t>PUNTAJE</t>
  </si>
  <si>
    <t>CONTRATO 5</t>
  </si>
  <si>
    <t>CONTRATO 6</t>
  </si>
  <si>
    <t>NO HABIL</t>
  </si>
  <si>
    <t>ACTIVIDADES PRELIMINARES</t>
  </si>
  <si>
    <t>DEMOLICIONES</t>
  </si>
  <si>
    <t>1,1,1</t>
  </si>
  <si>
    <t>DEMOL LOSA MACIZA C. E&lt;=20CMS</t>
  </si>
  <si>
    <t>1,1,2</t>
  </si>
  <si>
    <t>DEMOL VIGAS Y COLUMNAS. E= 0,15 A 0,30 MT</t>
  </si>
  <si>
    <t>ML</t>
  </si>
  <si>
    <t>1,1,3</t>
  </si>
  <si>
    <t>DEMOL.MURO  CONCRETO E=15CM</t>
  </si>
  <si>
    <t>1,1,4</t>
  </si>
  <si>
    <t>DESM.CUBIERTA ASBESTO CEMENTO</t>
  </si>
  <si>
    <t>1,1,5</t>
  </si>
  <si>
    <t>DESM.APARATO SANITARIO</t>
  </si>
  <si>
    <t>1,1,6</t>
  </si>
  <si>
    <t>DESM.MARCO + NAVE SENCILLA</t>
  </si>
  <si>
    <t>1,1,7</t>
  </si>
  <si>
    <t>DESMONTE DE CERRAMIENTO EN MALLA ESLABONADA H MAX 3MT</t>
  </si>
  <si>
    <t>1,1,8</t>
  </si>
  <si>
    <t>RETIRO  ESCOMBROS MANUAL-VOLQUETA &lt;=10KM.</t>
  </si>
  <si>
    <t>CAMPAMENTO</t>
  </si>
  <si>
    <t>1,2,1</t>
  </si>
  <si>
    <t xml:space="preserve">LOCALIZACION Y REPLANTEO </t>
  </si>
  <si>
    <t>1,2,2</t>
  </si>
  <si>
    <t>CAMPAMENTO TABLA  18 M2</t>
  </si>
  <si>
    <t>VARIOS</t>
  </si>
  <si>
    <t>1,3,1</t>
  </si>
  <si>
    <t>CERRAMIENTO POVISIONAL Y PERIMETRAL EN LONA VERDE Y GUADUA</t>
  </si>
  <si>
    <t>SUBTOTAL CAP 1  ACTIVIDADES PRELIMINARES:</t>
  </si>
  <si>
    <t>MOVIMIENTO DE TIERRA Y TRANSPORTE</t>
  </si>
  <si>
    <t>EXCAVACION A MAQUINA EN SECO EN MATERIAL COMUN HASTA 3,0M DE PROFUNDIDAD</t>
  </si>
  <si>
    <t>RETIRO DE MATERIAL DE EXCAVACION CON CARGUE EN VOLQUETA A MAQUINA EN BANCO. SIN ACARREO INTERNO EN OBRA INCLUYE DISPOSICION EN BOTADERO OFICIAL</t>
  </si>
  <si>
    <t>RELLENO DE MATERIAL SELECCIONADO TIPO ROCA MUERTA PARA ESTRUCTURAS</t>
  </si>
  <si>
    <t>2,4</t>
  </si>
  <si>
    <t>RELLENO  ROCA MUERTA COMPAC-CILINDRO +ACA, MEJORAMIENTO DE TERRENO BLOQUE B</t>
  </si>
  <si>
    <t>SUBTOTAL CAP. 2  MOVIMIENTO DE TIERRA Y TRANSPORTE:</t>
  </si>
  <si>
    <t xml:space="preserve">ESTRUCTURA EN CONCRETO </t>
  </si>
  <si>
    <t>SOLADO DE LIMPIEZA ESPESOR 5CM</t>
  </si>
  <si>
    <t xml:space="preserve">CONCRETO 3000 PSI  DADOS DE CIMENTACION </t>
  </si>
  <si>
    <t xml:space="preserve">CONCRETO 3000 PSI VIGAS Y RIOSTRAS EJES BLO.A[1,2,3,4,5,6,7,8] BLO.B[A,B,C,D,E,F,G] BLO.C[A,B,C,D], PUNTO FIJO  </t>
  </si>
  <si>
    <t>CONCRETO 3000 PSI VIGAS Y NERVIOS EJES BLO.A[A,B,C,D] BLO.B [1,2,3,4] BLO.C[1,2,3,4] COMEDOR, LAVANDERIA, PORTERIA, UTV, LOCAL COMERCIAL</t>
  </si>
  <si>
    <t xml:space="preserve">REFUERZO 60.000 PSI </t>
  </si>
  <si>
    <t>KLS</t>
  </si>
  <si>
    <t>COLUMNAS EN CONCRETO DE 3000 PSI</t>
  </si>
  <si>
    <t>BASES CAMAS EN CONCRETO H=30-40CM (CAMAS DORMITORIOS)</t>
  </si>
  <si>
    <t>MESON  EN CONCRETO H=8.1-10CM</t>
  </si>
  <si>
    <t>ALFAGIA CONCRETO ANCHO 60CM</t>
  </si>
  <si>
    <t>LOSA CONTRAPISO Y LOSA CASETON ESTERILLA E=41-45CM</t>
  </si>
  <si>
    <t>LOSA CONCRETO MACIZA E=10CM</t>
  </si>
  <si>
    <t>MALLA ELECTROSOLDADA</t>
  </si>
  <si>
    <t>PANTALLA EN CONCRETO 3100  PSI E=10-30CMS</t>
  </si>
  <si>
    <t>ESCALERA  CONCRETO 3000  PSI</t>
  </si>
  <si>
    <t>SUBTOTAL CAP. 3  ESTRUCTURA EN CONCRETO :</t>
  </si>
  <si>
    <t>INSTALACIONES HIDRAULICAS Y SANITARIAS</t>
  </si>
  <si>
    <t>TUBERÍA PVC PRESIÓN DE 3" RDE 26 UM</t>
  </si>
  <si>
    <t>TUBERÍA PVC PRESIÓN DE 2 1/2" RDE 26 UM</t>
  </si>
  <si>
    <t>TUBERÍA PVC PRESIÓN DE 2" RDE 26 UM</t>
  </si>
  <si>
    <t>TUBERÍA PVC PRESIÓN DE 1 1/2" RDE 21, INCLUYE UNIÓN</t>
  </si>
  <si>
    <t xml:space="preserve"> TUBERÍA PVC PRESIÓN DE 1 1/4" RDE 21, INCLUYE UNIÓN</t>
  </si>
  <si>
    <t>TUBERÍA PVC PRESIÓN DE 1" RDE 21, INCLUYE UNIÓN</t>
  </si>
  <si>
    <t>TUBERÍA PVC PRESIÓN DE 3/4" RDE 21, INCLUYE UNIÓN</t>
  </si>
  <si>
    <t>TUBERIA PVC PRESION PARA ACUEDUCTO D=1/2" RDE 13.5, INCLUYE UNIÓN</t>
  </si>
  <si>
    <t>BUJE SOLDADO DE 3"x2 1/2"  PVC</t>
  </si>
  <si>
    <t>BUJE SOLDADO DE 3"x2" PVC</t>
  </si>
  <si>
    <t>BUJE SOLDADO DE 2 1/2"x2" PVC</t>
  </si>
  <si>
    <t>BUJE SOLDADO DE 2 1/2"x1 1/2" PVC</t>
  </si>
  <si>
    <t>BUJE SOLDADO DE 2"x1 1/2" PVC</t>
  </si>
  <si>
    <t>BUJE SOLDADO DE 2"x3/4" PVC</t>
  </si>
  <si>
    <t>BUJE SOLDADO DE 2"X 1/2" PVC</t>
  </si>
  <si>
    <t>BUJE SOLDADO DE 1 1/2"x1 1/4" PVC</t>
  </si>
  <si>
    <t xml:space="preserve">BUJE SOLDADO DE 1 1/2"x1" </t>
  </si>
  <si>
    <t xml:space="preserve">BUJE SOLDADO DE 1 1/2"x3/4" </t>
  </si>
  <si>
    <t>BUJE SOLDADO DE 1 1/2"x1/2"</t>
  </si>
  <si>
    <t>BUJE SOLDADO DE 1 1/4"x1"</t>
  </si>
  <si>
    <t>BUJE SOLDADO DE 1 1/4"x3/4"</t>
  </si>
  <si>
    <t>BUJE SOLDADO DE 1 1/4"x1/2"</t>
  </si>
  <si>
    <t>BUJE SOLDADO DE 1"x3/4"</t>
  </si>
  <si>
    <t>BUJE SOLDADO DE 1"x 1 1/2"</t>
  </si>
  <si>
    <t>BUJE SOLDADO DE 3/4"x1/2"</t>
  </si>
  <si>
    <t>TEE REDUCIDA DE 1"x3/4"</t>
  </si>
  <si>
    <t>TEE REDUCIDA DE 1"x1/2"</t>
  </si>
  <si>
    <t>TEE REDUCIDA DE 3/4"x1/2"</t>
  </si>
  <si>
    <t>TEE 3"x3"</t>
  </si>
  <si>
    <t>TEE 2 1/2"x2 1/2"</t>
  </si>
  <si>
    <t>TEE 2"x2"</t>
  </si>
  <si>
    <t>TEE 1 1/2"x1 1/2"</t>
  </si>
  <si>
    <t>TEE 1 1/4"x1 1/4"</t>
  </si>
  <si>
    <t>TEE 1"x1"</t>
  </si>
  <si>
    <t>TEE 3/4"x3/4"</t>
  </si>
  <si>
    <t>TEE 1/2"x1/2"</t>
  </si>
  <si>
    <t>CODO DE 3"x90</t>
  </si>
  <si>
    <t>CODO DE 2"x90</t>
  </si>
  <si>
    <t>CODO DE 1 1/2" x90</t>
  </si>
  <si>
    <t>CODO DE 1 1/4" x90</t>
  </si>
  <si>
    <t>CODO DE 1"x90</t>
  </si>
  <si>
    <t>CODO DE 3/4"x90</t>
  </si>
  <si>
    <t>CODO DE 1/2"x90</t>
  </si>
  <si>
    <t>PUNTOS HIDRAULICOS DE 1/2", INCLUYE TUBERÍA PVC Y ACCESORIOS, PROM 3m</t>
  </si>
  <si>
    <t>VÁLVULA CHEQUE CORTINA HIERRO DE 3"</t>
  </si>
  <si>
    <t>VÁLVULA DE BOLA PVC 1/2"</t>
  </si>
  <si>
    <t>VÁLVULA DE BOLA PVC 1"</t>
  </si>
  <si>
    <t>VÁLVULA DE BOLA PVC 1 1/2"</t>
  </si>
  <si>
    <t>CAJA PARA MEDIDOR EN CONCRETO DE 3000 PSI (0,60X1,00X0,70 MT)</t>
  </si>
  <si>
    <t>MACROMEDIDOR DE 2" (INCLUYE ACCESORIOS FILTRO YEE, VÁLVULAS Y REDUCCIONES)</t>
  </si>
  <si>
    <t xml:space="preserve"> VÁLVULA HD DE 3"</t>
  </si>
  <si>
    <t xml:space="preserve"> VÁLVULA HD DE 2 1/2"</t>
  </si>
  <si>
    <t xml:space="preserve"> VÁLVULA HD DE 2"</t>
  </si>
  <si>
    <t xml:space="preserve"> MOTOBOMBA DE 5 HP (INCLUYE ACCESORIOS DE CONEXIÓN)</t>
  </si>
  <si>
    <t>HIDROFLO</t>
  </si>
  <si>
    <t>TUBERIA PVC CORRUGADA D=8"</t>
  </si>
  <si>
    <t>TUBERIA PVC CORRUGADA D=6"</t>
  </si>
  <si>
    <t>TUBERÍA SANITARIA PVC 4"</t>
  </si>
  <si>
    <t>TUBERÍA SANITARIA PVC 2"</t>
  </si>
  <si>
    <t>YEE SANITARIA DE 4"x4"</t>
  </si>
  <si>
    <t>DOBLE YEE SANITARIA DE 4"x4"</t>
  </si>
  <si>
    <t>YEE SANITARIA DE 4"x2"</t>
  </si>
  <si>
    <t>YE SANITARIA DE 2"x2"</t>
  </si>
  <si>
    <t xml:space="preserve"> TEE SANITARIA DE 4"x4"</t>
  </si>
  <si>
    <t xml:space="preserve"> TEE SANITARIA DE 2"x2"</t>
  </si>
  <si>
    <t>CODO SANITARIO DE 2"x90 C-C</t>
  </si>
  <si>
    <t>CODO SANITARIO DE 4"x90 C-C</t>
  </si>
  <si>
    <t>CODO SANITARIO DE 4"x45 C-C</t>
  </si>
  <si>
    <t>CODO SANITARIO DE 2"x45 C-C</t>
  </si>
  <si>
    <t>BUJE SOLDADO DE 4"x2"</t>
  </si>
  <si>
    <t>CAJAS DE DISTRIBUCION EN CONCRETO 0,6mx0,6m (libres) TAPA e=0,1M</t>
  </si>
  <si>
    <t>PUNTOS SANITARIOS DE 4"</t>
  </si>
  <si>
    <t>PUNTOS SANITARIOS DE 2"</t>
  </si>
  <si>
    <t>LAVADERO PREFABRICADO EN CONCRETO ACABADO EN GRANITO</t>
  </si>
  <si>
    <t>TANQUE DE ALMACENAMIENTO EN CONCRETO DE 3000 PSI. 4,00X4,00X1,00. E=0,30 MTS. 2 PARILLAS ACERO 5/8"@,25 2 SENTIDOS</t>
  </si>
  <si>
    <t>SUBTOTAL CAP. 4  INSTALACIONES HIDRAULICAS Y SANITARIAS:</t>
  </si>
  <si>
    <t>INSTALACION RED CONTRA INCENDIO</t>
  </si>
  <si>
    <t>TUBERÍA AC DE 4"</t>
  </si>
  <si>
    <t>TUBERÍA AC DE 3"</t>
  </si>
  <si>
    <t>TUBERÍA AC DE 2"</t>
  </si>
  <si>
    <t>TUBERÍA AC DE 1 1/2"</t>
  </si>
  <si>
    <t>TUBERÍA AC DE 1 1/4"</t>
  </si>
  <si>
    <t>TUBERÍA AC DE 1"</t>
  </si>
  <si>
    <t>CODO AC DE 3"x90</t>
  </si>
  <si>
    <t>CODO AC DE 2"x90</t>
  </si>
  <si>
    <t>CODO AC DE 1"x90</t>
  </si>
  <si>
    <t>TEE AC DE 3"x3"</t>
  </si>
  <si>
    <t>TEE AC DE 2"x2"</t>
  </si>
  <si>
    <t>TEE AC DE 1 1/2"x1 1/2"</t>
  </si>
  <si>
    <t>TEE AC DE 1 1/4"x1 1/4"</t>
  </si>
  <si>
    <t>TEE AC DE 1"x1"</t>
  </si>
  <si>
    <t>BUSHING AC DE 3"x2"</t>
  </si>
  <si>
    <t>BUSHING AC DE 2"x1 1/2"</t>
  </si>
  <si>
    <t>BUSHING AC DE 1 1/2"x1 1/4"</t>
  </si>
  <si>
    <t>BUSHING AC DE 1 1/2"x1/2"</t>
  </si>
  <si>
    <t>BUSHING AC DE 1 1/4"x1"</t>
  </si>
  <si>
    <t>BUSHING AC DE 1 1/4"x1/2"</t>
  </si>
  <si>
    <t>BUSHING AC DE 1"x1/2"</t>
  </si>
  <si>
    <t>GABINETE TIPO III</t>
  </si>
  <si>
    <t xml:space="preserve">EXTINTORES </t>
  </si>
  <si>
    <t>ROCIADOR 1/2" ESTANDAR</t>
  </si>
  <si>
    <t>SOPORTES - ANCLAJE TUBERIA 1,1/2x1/8"</t>
  </si>
  <si>
    <t>SENSOR DE FLUJO</t>
  </si>
  <si>
    <t>MANOMETRO DE GLICERINA 0-200 PSI</t>
  </si>
  <si>
    <t>VÁLVULA CHEQUE CORTINA METALICO DE 3"</t>
  </si>
  <si>
    <t>VÁLVULA DE 3" HD</t>
  </si>
  <si>
    <t>SIAMESA DE 3"</t>
  </si>
  <si>
    <t>MOTOBOMBA DE 5 HP JOCKEY</t>
  </si>
  <si>
    <t>MOTOBOMBA DE 45HP LISTADA</t>
  </si>
  <si>
    <t>SUBTOTAL CAP. 5  INSTALACION RED CONTRA INCENDIOS:</t>
  </si>
  <si>
    <t xml:space="preserve">INSTALACION RED GAS </t>
  </si>
  <si>
    <t>CONSTRUCCION RED INTERNA DE POLIETILENO DE 1" PARA GAS NATURAL</t>
  </si>
  <si>
    <t>CONSTRUCCION RED INTERNA EN PE - AL - PE PARA GAS NATURAL</t>
  </si>
  <si>
    <t>CONSTRUCCION RED INTERNA PARA CADA PUNTO DE ARTEFACTO A GAS NATURAL</t>
  </si>
  <si>
    <t>SUBTOTAL CAP. 6  INSTALACION RED GAS:</t>
  </si>
  <si>
    <t>INSTALACIONES ELECTRICAS</t>
  </si>
  <si>
    <t>SALIDA ILUMINACION 120 V</t>
  </si>
  <si>
    <t>SALIDA ILUMINACION 220 V</t>
  </si>
  <si>
    <t>TOMA MONOFASICO CON POLO A TIERRA</t>
  </si>
  <si>
    <t>TOMA MONOFASICO CON POLO A TIERRA GFCI</t>
  </si>
  <si>
    <t xml:space="preserve">TOMA MONOFASICO REGULADO CON POLO A TIERRA </t>
  </si>
  <si>
    <t>INTERRUPTOR SENCILLO</t>
  </si>
  <si>
    <t>INTERRUPTOR DOBLE</t>
  </si>
  <si>
    <t>INTERRUPTOR SENCILLO CONMUTABLE</t>
  </si>
  <si>
    <t>INTERRUPTOR DOBLE CONMUTABLE</t>
  </si>
  <si>
    <t>TOMA VOZ Y DATOS</t>
  </si>
  <si>
    <t>SALIDA TELEVISION</t>
  </si>
  <si>
    <t>GABINETE RACK CON TODOS SUS ACCESORIOS</t>
  </si>
  <si>
    <t>UPS</t>
  </si>
  <si>
    <t>TABLERO DE BREAKERS DE 36 CTOS TRIFILAR 208 -120 V 4 HILOS</t>
  </si>
  <si>
    <t>TABLERO DE BREAKERS DE 30 CTOS TRIFILAR 208 -120 V 4 HILOS</t>
  </si>
  <si>
    <t>TABLERO DE BREAKERS DE 24 CTOS TRIFILAR 208 -120 V 4 HILOS</t>
  </si>
  <si>
    <t>TABLERO DE BREAKERS DE 18 CTOS TRIFILAR 208 -120 V 4 HILOS</t>
  </si>
  <si>
    <t>MINIBREAKERS 1X15 AMP</t>
  </si>
  <si>
    <t>MINIBREAKERS 2X20 AMP</t>
  </si>
  <si>
    <t>ACOMETIDA TRIFILAR 2 No. 2/0  POR FASE + 1No. 2/0 POR NEUTRO + 1 No. 6 TIERRA</t>
  </si>
  <si>
    <t>ACOMETIDA TRIFILAR 1 No. 4  POR FASE + 1No. 4 POR NEUTRO + 1 No. 10 TIERRA</t>
  </si>
  <si>
    <t>ACOMETIDA TRIFILAR 1 No. 6  POR FASE + 1No. 6 POR NEUTRO + 1 No. 8 TIERRA</t>
  </si>
  <si>
    <t>ACOMETIDA TRIFILAR 1 No. 8  POR FASE + 1No. 8 POR NEUTRO + 1 No. 10 TIERRA</t>
  </si>
  <si>
    <t>BANDEJA  400mm x 54 mm x 3000mm</t>
  </si>
  <si>
    <t>PUESTA A TIERRA TABLERO DE BREAKERS y TABLERO DE MEDIDORES</t>
  </si>
  <si>
    <t>LAMPARA APLIQUE TORTUGA LED 5.5W EXTERIOR INTERIOR O SIMILAR</t>
  </si>
  <si>
    <t>BALA  ECO LED 24 W (1920 LUMEN) O SIMILAR</t>
  </si>
  <si>
    <t>BALA  ECO LED  15 W (1200 LUMEN) O SIMILAR</t>
  </si>
  <si>
    <t>LÁMPARA PANEL LED SOBREPONER 60X60 51W BLANCA O SIMILAR</t>
  </si>
  <si>
    <t>LÁMPARA PANEL LED SOBREPONER 30X120 51W BLANCA O SIMILAR</t>
  </si>
  <si>
    <t>LÁMPARA PANEL LED DE SOBRE PONER 30X120 48W HERMETICA BLANCA  O SIMILAR</t>
  </si>
  <si>
    <t>LUMINARIA 16 LEDS 35W O SIMILAR</t>
  </si>
  <si>
    <t>EXI-H LUZ EMERGENCIA LED R1 2X1.6W O SIMILAR</t>
  </si>
  <si>
    <t>TRANSFORMADOR TRIFASICO 75 KVA 208-120V</t>
  </si>
  <si>
    <t>PROTECCIONES</t>
  </si>
  <si>
    <t>MALLA DE TIERRA</t>
  </si>
  <si>
    <t>MEDICION INDIRECTA</t>
  </si>
  <si>
    <t>ACOMETIDA TRANSFORMADOR  1No.4/0 THHN X FASE + 1No.4/0 THHN X NEUTRO + 1No. 2 X TIERRA  . IINCLUYE TUBERIA PVC DB 4"</t>
  </si>
  <si>
    <t>TABLERO TRIFÁSICO DE 24 CIRCUITOS 3F, 5H CON ESPACIO PARA TOTALIZADOR. INCLUYE TOTALIZADOR ,  PUERTA Y TODO LO NECESARIO PARA SU CORRECTO FUNCIONAMIENTO.</t>
  </si>
  <si>
    <t>CAJA EN MAMPOSTERÍA TIPO ALUMBRADO PÚBLICO DE 100 CM X 100 CM</t>
  </si>
  <si>
    <t>CAJA EN MAMPOSTERÍA TIPO ALUMBRADO PÚBLICO DE 30 CM X 30 CM</t>
  </si>
  <si>
    <t>POSTE METALICO PARA ALUMBRADO PUBLICO DE 9 X 150 KGF GALVANIZADO Y PINTADO</t>
  </si>
  <si>
    <t>VARILLA DE COBRE DE 2,40 MS X 5/8"</t>
  </si>
  <si>
    <t>CABLE DE COBRE  BLANDO DESNUDO  NO. 2/0 PARA CONFIGURAR SISTEMA DE APANTALLAMIENTO, MALLA A TIERRA Y EQUIPOTENCIAR.</t>
  </si>
  <si>
    <t xml:space="preserve">ALAMBRON EN  ALUMINIO  DE 8 MM PARA APANTALLAMIENTO </t>
  </si>
  <si>
    <t>BARRA CAPTORA PARA SISTEMA APANTALLAMIENTO</t>
  </si>
  <si>
    <t>SOLDADURA 120 G PARA EMPALMES DEL SISTEMA DE APANTALLAMIENTO Y PUESTAS A TIERRA</t>
  </si>
  <si>
    <t>TUBERIA PVC DE 3X2"</t>
  </si>
  <si>
    <t>TUBERIA PVC DE 5X2"</t>
  </si>
  <si>
    <t>SUBTOTAL CAP. 7  INSTALACIONES ELECTRICAS:</t>
  </si>
  <si>
    <t xml:space="preserve">MAMPOSTERIA </t>
  </si>
  <si>
    <t>MURO BLOQUE CONCRETO 19x19x39CM</t>
  </si>
  <si>
    <t>8,2</t>
  </si>
  <si>
    <t>DIV. MURO LADRILLO FAROL BLOQUES RESIDENCIAS</t>
  </si>
  <si>
    <t>8,3</t>
  </si>
  <si>
    <t>ESCALERILLA HIERRO  GRAFILADO 1/4"</t>
  </si>
  <si>
    <t>8,4</t>
  </si>
  <si>
    <t>DOVELAS 3/8 60.000 PSI</t>
  </si>
  <si>
    <t>8,5</t>
  </si>
  <si>
    <t>MURO BLOQUE ESTRUCT. CERAMICO  12X20X30</t>
  </si>
  <si>
    <t>SUBTOTAL CAP. 8  MAMPOSTERIA :</t>
  </si>
  <si>
    <t xml:space="preserve">OBRA BLANCA </t>
  </si>
  <si>
    <t>REPELLO MURO 1:2</t>
  </si>
  <si>
    <t xml:space="preserve">ESTUCO MUROS </t>
  </si>
  <si>
    <t>PORCELANATO 80 X 80 CM</t>
  </si>
  <si>
    <t>CERAMICA 32.60-35.00X32.60-35.00 TRAF.4</t>
  </si>
  <si>
    <t>CERAMICA  PISO-PARED 20-50X20-50CM</t>
  </si>
  <si>
    <t>GRANITO PULIDO [PANO]</t>
  </si>
  <si>
    <t>GUARDAESCOBA EPOXICO 1/2C  #261</t>
  </si>
  <si>
    <t>GUARDAESCOBA CERAMICO H MAX 8 CM</t>
  </si>
  <si>
    <t>C.F.PANEL YESO 12.7MM S.JUNTA+VINILO RH</t>
  </si>
  <si>
    <t>PINTURA 3 MANOS FACHADAS BLOQUES DORMITORIOS</t>
  </si>
  <si>
    <t>NAVE ALUM.PERSIANA CORTINA.</t>
  </si>
  <si>
    <t>NAVE ALUM.ENTAMBORADA-LLENA VAI.</t>
  </si>
  <si>
    <t>VENTANA LAM.VIDRIO 5 MM-INCOLORO ALUMINO</t>
  </si>
  <si>
    <t>PUERTA VENTANA ALUM.PERSIANA</t>
  </si>
  <si>
    <t xml:space="preserve"> VENTANERIA MARCO EN ALUMINIO CALIBRE 18 Y VIDRIO SUPERPUESTO DE SEGURIDAD 10 MM CON PELICULA DE SEGURIDAD. INCLUYE ELEMENTOS DE ANCLAJE</t>
  </si>
  <si>
    <t>BARANDA DE SEGURIDAD  EN CAÑO DE ACERO GALVANIZADO  DE 50 MM X 2MM REFUERZO INTERMEDIO EN TUBO DE 25 MMX 2MM</t>
  </si>
  <si>
    <t>SUBTOTAL CAP. 9  OBRA BLANCA :</t>
  </si>
  <si>
    <t>APARATOS SANITARIOS</t>
  </si>
  <si>
    <t>SANITARIO DOBLE DESCARGA INCLUYE INSTALACION</t>
  </si>
  <si>
    <t>SANITARIO POBLACION MOVILIDAD REDUCIDA</t>
  </si>
  <si>
    <t>LAVAMANOS SOBREPONER INLCLUYE INSTALACION</t>
  </si>
  <si>
    <t>LAVAMANOS RECTANGULAR DE COLGAR PARA MOVILIDAD REDUCIDA</t>
  </si>
  <si>
    <t>GRIFERIA LAVAMANOS</t>
  </si>
  <si>
    <t xml:space="preserve">DUCHA PLATO INCLUYEA CCESORIOS PARA INSTALACION </t>
  </si>
  <si>
    <t>KIT BARRAS APOYO MOVILIDAD REDUCIDA , incluye 2 BARRAS EN L y 2 barras de 12" para sanitario y ducha todos los accesorios y materiales para su correcta instalación y fijación</t>
  </si>
  <si>
    <t>SUBTOTAL CAP. 10  INSTALACIONES HIDROSANITARIAS:</t>
  </si>
  <si>
    <t>OBRAS EXTERIORES Y DE URBANISMO</t>
  </si>
  <si>
    <t>RAMPAS EN CONCRETO 3100 PSI</t>
  </si>
  <si>
    <t>TABLETA CONCRETO TIPO CHOCOLATINA 0,50 X 0,14 [M]</t>
  </si>
  <si>
    <t xml:space="preserve">ADOQUIN CONCRETO 30.0x45.0x08 </t>
  </si>
  <si>
    <t>ANDEN CONCRETO 10CM 3000  PSI INCLUYE REFUERZO EN ACERO</t>
  </si>
  <si>
    <t>PRADO  GATEADORA</t>
  </si>
  <si>
    <t>MURO DE CONTENCION 3000 PSI INCLUYE FORMALETA</t>
  </si>
  <si>
    <t>REPOSICION DE ARBOLES  H MAX = 1,80</t>
  </si>
  <si>
    <t>CERRAMIENTO EN MALLA ESLABONADA CAL 10, TUBERIA GALVANIZADA d=2'', CON TAPA, ANGULO 1 1/2''X3/16'', ACABADO ESMALTE</t>
  </si>
  <si>
    <t>SUBTOTAL CAP. 11  OBRAS EXTERIORES Y DE URBANISMO:</t>
  </si>
  <si>
    <t>CUBIERTA</t>
  </si>
  <si>
    <t>TEJA GALVANIZADA TRAPEZOIDAL CAL.26</t>
  </si>
  <si>
    <t>CANAL LAMINA ALUMINIO</t>
  </si>
  <si>
    <t>PERFIL  ESTRUCTURAL PARA ESTRUCTURA DE CUBIERTA SEGÚN DISEÑO ESTRUCTURAL</t>
  </si>
  <si>
    <t>KG</t>
  </si>
  <si>
    <t>POLICARBONATO ALVEOLAR 10MM</t>
  </si>
  <si>
    <t>SUBTOTAL CAP. 12  CUBIERTA:</t>
  </si>
  <si>
    <t>ESTRUCTURA METALICA</t>
  </si>
  <si>
    <t>13,1</t>
  </si>
  <si>
    <t>PANEL REVESTIMIENTO EN LAMINA DE ALTA PRESION DE 5 A 6 MM SEGÚN DISEÑO</t>
  </si>
  <si>
    <t>13,2</t>
  </si>
  <si>
    <t>CARTERA EN PANEL REVESTIMIENTO EN LAMINA DE ALTA PRESION DE 5 A 6 MM BAJANTES ALL.</t>
  </si>
  <si>
    <t>13,3</t>
  </si>
  <si>
    <t>ESTRUCTURA METALICA EN ACERO ESTRUCTURAL ASTM A-36 (SEGÚN DISEÑO). INCLUYE FABRICACION, TRANSPORTE, MONTAJE, PINTURA ANTICORROSIVO Y TERMINADO FINAL</t>
  </si>
  <si>
    <t>13,4</t>
  </si>
  <si>
    <t>ANCLAJE CON TORNILO DE ALTA RESISTENCIA A325 H MIN 15 CM</t>
  </si>
  <si>
    <t>SUBTOTAL CAP. 13  ESTRUCTURA METALICA:</t>
  </si>
  <si>
    <t>ASEO GENERAL DE OBRA</t>
  </si>
  <si>
    <t>14,1</t>
  </si>
  <si>
    <t>ASEO GENERAL  MECANICO ESPECIALIZADO DE OBRA (incuyle limpieza de zonas duras, zonas verdes, muros, areas interiores)</t>
  </si>
  <si>
    <t>SUBTOTAL CAP. 14  ASEO GENERAL DE OBRA:</t>
  </si>
  <si>
    <t>COSTOS DE SUMINISTRO DE BIENES Y SERVICIOS</t>
  </si>
  <si>
    <t>COSTOS CERTIFICACION RETIE</t>
  </si>
  <si>
    <t>COSTOS CERTIFICACION RETILAB</t>
  </si>
  <si>
    <t>COSTOS PLAN DE GESTION INTEGRAL DE OBRA (P.G.I.O)</t>
  </si>
  <si>
    <t>COSTOS SUMINISTRO E INSTALACIÓN MOBILIARIO</t>
  </si>
  <si>
    <t>VALOR  TOTAL PRESUPUESTO OFICIAL</t>
  </si>
  <si>
    <t>REFUERZO 60000 PSI</t>
  </si>
  <si>
    <t xml:space="preserve">VALOR COSTOS DIRECTOS + INDIRECTOS + IVA SOBRE UTILIDAD DE LA OBRA CIVIL </t>
  </si>
  <si>
    <t>COSTO TOTAL OBRA CIVIL</t>
  </si>
  <si>
    <t xml:space="preserve">DOCUMENTOS TÉCNICOS </t>
  </si>
  <si>
    <t>LUIS FERNANDO POLANCO FLOREZ</t>
  </si>
  <si>
    <t>IVAN DARIO MUÑOZ DELGADO</t>
  </si>
  <si>
    <t>ASESORIA CONSULTORIA Y GESTION COLOMBIA SAS</t>
  </si>
  <si>
    <t>CLASIFICADOR  UNSPSC</t>
  </si>
  <si>
    <t>% PARTICIPACION MINIMA</t>
  </si>
  <si>
    <t>EXPERIENCIA ESPECIFICA MINIMA
30% VALOR PRESUPUESTO OFICIAL</t>
  </si>
  <si>
    <t>SI</t>
  </si>
  <si>
    <t>N/A</t>
  </si>
  <si>
    <t>NO</t>
  </si>
  <si>
    <t>PUNTAJE MAXIMO</t>
  </si>
  <si>
    <t>PUNTAJE PERSONAL ASESOR</t>
  </si>
  <si>
    <t>Contratista Vicerrectoria Administrativa</t>
  </si>
  <si>
    <t>ORLANDO SANDOVAL ACOSTA</t>
  </si>
  <si>
    <t>ESP.</t>
  </si>
  <si>
    <t>I</t>
  </si>
  <si>
    <t>PRELIMINARES</t>
  </si>
  <si>
    <t>01.01.</t>
  </si>
  <si>
    <t>LOCALIZACION Y REPLANTEO</t>
  </si>
  <si>
    <t>01.02.</t>
  </si>
  <si>
    <t>DESCAPOTE A MANO HASTA E= 0.40 M ZONA VERDE PARA NUEVOS</t>
  </si>
  <si>
    <t>01.03.</t>
  </si>
  <si>
    <t>RETIRO DE SOBRANTES</t>
  </si>
  <si>
    <t>SUBTOTAL PRELIMINARES</t>
  </si>
  <si>
    <t>II</t>
  </si>
  <si>
    <t>CIMENTACIÓN</t>
  </si>
  <si>
    <t>02.01.</t>
  </si>
  <si>
    <t>2.8.P</t>
  </si>
  <si>
    <t>EXCAVACION A MANO</t>
  </si>
  <si>
    <t>02.02.</t>
  </si>
  <si>
    <t>CONCRETO DE 19MPa PARA SOLADOS DE LIMPIEZA e=0.05 M</t>
  </si>
  <si>
    <t>02.03.</t>
  </si>
  <si>
    <t>VIGAS CIMENTACIÓN EN T EN CONCRETO DE 21MPa IMPERMEABILIZADO, INCLUYE ACERO DE REFUERZO PRINCIPAL EN VARILLA DE d=5/8" -3/8" Y ETRIBOS  EN D=3/8" .</t>
  </si>
  <si>
    <t>02.04.</t>
  </si>
  <si>
    <t>3.14.P</t>
  </si>
  <si>
    <t>PEDESTALES EN CONCRETO DE 21 Mpa IMPERMEABILIZADO , NO INCLUYE ACERO DE REFUERZO.</t>
  </si>
  <si>
    <t>02.05.</t>
  </si>
  <si>
    <t>ACERO DE REFUERZO 420 MPA</t>
  </si>
  <si>
    <t>KGR</t>
  </si>
  <si>
    <t>02.06.</t>
  </si>
  <si>
    <t>7.15 P</t>
  </si>
  <si>
    <t>MORTERO AUTONIVELANTE  0.30x0.30x.02 M</t>
  </si>
  <si>
    <t>SUBTOTAL CIMENTACIÓN</t>
  </si>
  <si>
    <t>III</t>
  </si>
  <si>
    <t>DESAGÜES</t>
  </si>
  <si>
    <t>03.01.</t>
  </si>
  <si>
    <t>03.01.P</t>
  </si>
  <si>
    <t>TUBERIA SANITARIA  PVC 4"</t>
  </si>
  <si>
    <t>03.02.</t>
  </si>
  <si>
    <t>03.02.P</t>
  </si>
  <si>
    <t>TUBERIA SANITARIA PVC 2"</t>
  </si>
  <si>
    <t>03.03.</t>
  </si>
  <si>
    <t>03.03.P</t>
  </si>
  <si>
    <t>PUNTOS SANITARIOS 2"</t>
  </si>
  <si>
    <t>3.04.P</t>
  </si>
  <si>
    <t>CAJA INSPECCION 0.50 x 0.50 EN CONCRETO DE 21mPA CON TAPA REFORZADA EN VARILLA DE d=3/8"EN AMBOS SENTIDOS.</t>
  </si>
  <si>
    <t>SUBTOTAL DESAGÜES</t>
  </si>
  <si>
    <t>IV</t>
  </si>
  <si>
    <t>MUROS</t>
  </si>
  <si>
    <t>04.01.</t>
  </si>
  <si>
    <t>9.1.P</t>
  </si>
  <si>
    <t>MUROS EN SISTEMA LIVIANO PÁNELES FIBRO CEMENTO DE e=8 mm, CON SU ESTRUCTURA SEGÚN LA ESPECIFICACIONES DE DISEÑO ESTRUCTURAL.</t>
  </si>
  <si>
    <t>SUBTOTAL MUROS</t>
  </si>
  <si>
    <t>V</t>
  </si>
  <si>
    <t>ESTRUCTURA METÁLICA</t>
  </si>
  <si>
    <t>05.01.</t>
  </si>
  <si>
    <t>COLUMNAS METÁLICAS 150x150x40 mm, incluye soldadura, anticorrosivo pintura y todos los elementos especificados en el diseño</t>
  </si>
  <si>
    <t>05.02.</t>
  </si>
  <si>
    <t>PERNOS 12.66 MM A-307 especificados en el diseño</t>
  </si>
  <si>
    <t>05.03.</t>
  </si>
  <si>
    <t>CERCHA TIPO 1  incluye soldadura, anticorrosivo pintura y todos los elementos especificados en el diseño</t>
  </si>
  <si>
    <t>05.04.</t>
  </si>
  <si>
    <t>3.15.P</t>
  </si>
  <si>
    <t>CERCHA TIPO 2 incluye soldadura, anticorrosivo pintura y todos los elementos especificados en el diseño</t>
  </si>
  <si>
    <t>05.05.</t>
  </si>
  <si>
    <t>CERCHA TIPO 3 incluye soldadura, anticorrosivo pintura y todos los elementos especificados en el diseño</t>
  </si>
  <si>
    <t>05.06.</t>
  </si>
  <si>
    <t>CERCHA TIPO 4 incluye soldadura, anticorrosivo pintura y todos los elementos especificados en el diseño</t>
  </si>
  <si>
    <t>05.07.</t>
  </si>
  <si>
    <t>CERCHA TIPO 5 incluye soldadura, anticorrosivo pintura y todos los elementos especificados en el diseño</t>
  </si>
  <si>
    <t>05.08.</t>
  </si>
  <si>
    <t>CERCHA TIPO 6 incluye soldadura, anticorrosivo pintura y todos los elementos especificados en el diseño</t>
  </si>
  <si>
    <t>05.09.</t>
  </si>
  <si>
    <t>CERCHA TIPO 7 incluye soldadura, anticorrosivo pintura y todos los elementos especificados en el diseño</t>
  </si>
  <si>
    <t>05.10.</t>
  </si>
  <si>
    <t>CERCHA TIPO 7.1 incluye soldadura, anticorrosivo pintura y todos los elementos especificados en el diseño</t>
  </si>
  <si>
    <t>05.11.</t>
  </si>
  <si>
    <t>CERCHA TIPO 8 incluye soldadura, anticorrosivo pintura y todos los elementos especificados en el diseño</t>
  </si>
  <si>
    <t>05.12.</t>
  </si>
  <si>
    <t>CERCHA TIPO 9 incluye soldadura, anticorrosivo pintura y todos los elementos especificados en el diseño</t>
  </si>
  <si>
    <t>05.13.</t>
  </si>
  <si>
    <t>RIOSTRAS PLATINAS 7 CM 5mm GRADO 50 incluye soldadura, anticorrosivo pintura y todos los elementos especificados en el diseño</t>
  </si>
  <si>
    <t>05.14.</t>
  </si>
  <si>
    <t>CORREA COR1 PERLIN CAJON 220x80x20 mm 2 mm incluye soldadura, anticorrosivo pintura y todos los elementos especificados en el diseño</t>
  </si>
  <si>
    <t>05.15.</t>
  </si>
  <si>
    <t>VIGAS EN CAJÓN incluye soldadura, anticorrosivo pintura y todos los elementos especificados en el diseño</t>
  </si>
  <si>
    <t>05.16.</t>
  </si>
  <si>
    <t>CORREA COR2 PERLIN CAJON 220x80x20 mm 1.2 mm incluye soldadura, anticorrosivo pintura y todos los elementos especificados en el diseño incluye soldadura, anticorrosivo pintura y todos los elementos especificados en el diseño</t>
  </si>
  <si>
    <t>SUBTOTAL ESTRUCTURA METÁLICA</t>
  </si>
  <si>
    <t>VI</t>
  </si>
  <si>
    <t>06.01.</t>
  </si>
  <si>
    <t>6.01.P</t>
  </si>
  <si>
    <t>SUMINISTRO E INSTALACION DE CUBIERTA TEJA TERMOACUSTICA</t>
  </si>
  <si>
    <t>06.02.</t>
  </si>
  <si>
    <t>6.02.P</t>
  </si>
  <si>
    <t>SUMINISTRO E INSTALACION DE CANALES EN LAMINA CAL. 20, INCLUYE ANTICORROSIVO , ANDAMIOS Y EQUIPO CERTIFICADO PARA TRABAJO SEGURO EN ALTURAS.</t>
  </si>
  <si>
    <t>06.03.</t>
  </si>
  <si>
    <t>TENSORES 3/8", INCLUYE ANTICORROSIVO , ANDAMIOS Y EQUIPO CERTIFICADO PARA TRABAJO SEGURO EN ALTURAS.</t>
  </si>
  <si>
    <t>06.04.</t>
  </si>
  <si>
    <t>6.04.P</t>
  </si>
  <si>
    <t>CABALLETES O LIMATESAS TEJA UPVC INCLUYE  ANDAMIOS Y EQUIPO CERTIFICADO PARA TRABAJO SEGURO EN ALTURAS.</t>
  </si>
  <si>
    <t>SUBTOTAL CUBIERTA</t>
  </si>
  <si>
    <t>VII</t>
  </si>
  <si>
    <t>PISOS</t>
  </si>
  <si>
    <t>07.01.</t>
  </si>
  <si>
    <t>ART. 330-13  INV</t>
  </si>
  <si>
    <t>SUMINISTRO EXTENCIÓN Y COMPACTACION DE SUBBASE GRANULAR e=.10 m</t>
  </si>
  <si>
    <t>07.02.</t>
  </si>
  <si>
    <t>7.02.P</t>
  </si>
  <si>
    <t>SUMINISTRO E INSTALACION DE PISO EN CERAMICA TRAFICO TIPO INDUSTRIAL ACABADO MATE, INCLUYE EL MORTERO DE NIVELACION .</t>
  </si>
  <si>
    <t>07.03.</t>
  </si>
  <si>
    <t>7.03.P</t>
  </si>
  <si>
    <t xml:space="preserve">PISO PRIMARIO EN CONCRETO DE 21 Mpa e=0.07 M </t>
  </si>
  <si>
    <t>07.04.</t>
  </si>
  <si>
    <t>7.04.P</t>
  </si>
  <si>
    <t>GUARDAESCOBA EN CERÁMICA DE ANCHO 8cm</t>
  </si>
  <si>
    <t>07.05.</t>
  </si>
  <si>
    <t>MESÓN CONCRETO ; SUPERF LOSA CCTO de 17.5MPa  E=0.07 M GRANITO No3. PUL; PATAS MURO SOGA PAÑET</t>
  </si>
  <si>
    <t>07.06.</t>
  </si>
  <si>
    <t>PISO EPÓXICO MULTICAPAS</t>
  </si>
  <si>
    <t>07.07.</t>
  </si>
  <si>
    <t>PISO PARA DUCHAS DE EMERGENCIA</t>
  </si>
  <si>
    <t>SUBTOTAL PISOS</t>
  </si>
  <si>
    <t>VIII</t>
  </si>
  <si>
    <t>INSTALACIONES HIDRÁULICAS</t>
  </si>
  <si>
    <t>08.01.</t>
  </si>
  <si>
    <t>8.01.P</t>
  </si>
  <si>
    <t>SUMINISTRO E INSTALACION DE TUBERIA PVC PRESION 3/4" RDE 21</t>
  </si>
  <si>
    <t>08.02.</t>
  </si>
  <si>
    <t>8.02.P</t>
  </si>
  <si>
    <t>SUMINISTRO E INSTALACION DE TUBERIA PVC PRESION 1/2" RDE 21</t>
  </si>
  <si>
    <t>08.03.</t>
  </si>
  <si>
    <t>8.03.P</t>
  </si>
  <si>
    <t>PUNTO HIDRAULICO 1/2"</t>
  </si>
  <si>
    <t>08.04.</t>
  </si>
  <si>
    <t>8.04.P</t>
  </si>
  <si>
    <t>SUMINISTRO E INSTALACION DE LLAVES DE PASO DIRECTO 3/4" DE COMPUERTA ( CIERRE LENTO) .</t>
  </si>
  <si>
    <t>SUBTOTAL INSTALACIONES HIDRÁULICAS</t>
  </si>
  <si>
    <t>IX</t>
  </si>
  <si>
    <t>CIELORASO</t>
  </si>
  <si>
    <t>09.01.</t>
  </si>
  <si>
    <t>9.01.P</t>
  </si>
  <si>
    <t>SUMINISTRO E INSTALACION DE CIELORASO EN PCV ESPESOR =10mm.</t>
  </si>
  <si>
    <t>SUBTOTAL CIELORASO</t>
  </si>
  <si>
    <t>X</t>
  </si>
  <si>
    <t>PINTURAS</t>
  </si>
  <si>
    <t>10.01.</t>
  </si>
  <si>
    <t>10.1.P</t>
  </si>
  <si>
    <t>PINTURA VINILO MUROS DE PANEL</t>
  </si>
  <si>
    <t>10.02.</t>
  </si>
  <si>
    <t>10.2.P</t>
  </si>
  <si>
    <t>PINTURA KORAZA EXTERIORES FACHADA</t>
  </si>
  <si>
    <t>SUBTOTAL PINTURAS</t>
  </si>
  <si>
    <t>XI</t>
  </si>
  <si>
    <t>ACCESORIOS SANITARIOS</t>
  </si>
  <si>
    <t>11.01.</t>
  </si>
  <si>
    <t xml:space="preserve">DUCHAS DE EMERGENCIA MIXTA CON LAVAOJOS:CONJUNTO DUCHA DE EMERGENCIA MIXTA, CON LAVA-OJOS : El plato de la ducha es de 273 mm (10 3/4”) palanca triangular rígida, y el lava-ojos de 273 mm, (10 3/4”) redondo, con accesorios fabricados en acero inoxidable 316 (a prueba de corrosión - antiácidos), lavaojos con protectores en ABS. Tubería galvanizada de 1 1/4” pintada en colores reflectivos, válvula en bronce, suministro hidráulico de 1 1/4”. La ducha accionada con palanca; lavaojos puede accionarse con palanca o pedal. Altura 2150 mm (85”). Incluye señal de identificación. Fabricada conforme a las normas estándar Z358.1 - 2014 ANSI. </t>
  </si>
  <si>
    <t>11.02.</t>
  </si>
  <si>
    <t>REJILLA VARILLAS LISAS 1/2" A/C 2,5 CM</t>
  </si>
  <si>
    <t>11.03.</t>
  </si>
  <si>
    <t>POCETAS PARA LAVADO EN LABORATORIOS</t>
  </si>
  <si>
    <t>SUBTOTAL ACCESORIOS SANITARIOS</t>
  </si>
  <si>
    <t>XII</t>
  </si>
  <si>
    <t>CARPINTERÍA ALUMÍNIO</t>
  </si>
  <si>
    <t>12.01.</t>
  </si>
  <si>
    <t>PUERTA EXTERIOR ALUMINIO COLOR BLANCO</t>
  </si>
  <si>
    <t>12.02.</t>
  </si>
  <si>
    <t>PUERTA INTERIOR ALUMINIO COLOR BLANCO</t>
  </si>
  <si>
    <t>12.03.</t>
  </si>
  <si>
    <t>VENTANA ALUMINIO COLOR BLANCO</t>
  </si>
  <si>
    <t>12.04.</t>
  </si>
  <si>
    <t>CERRADURAS EXTERIORES</t>
  </si>
  <si>
    <t>12.05.</t>
  </si>
  <si>
    <t>CERRADURAS INTERIORES</t>
  </si>
  <si>
    <t>SUBTOTAL CARPINTERÍA ALUMÍNIO</t>
  </si>
  <si>
    <t>XIII</t>
  </si>
  <si>
    <t>13.01.</t>
  </si>
  <si>
    <t>13.01.P</t>
  </si>
  <si>
    <t xml:space="preserve">ANDEN EN CONCRETO DE 21MPa e=0.10 m </t>
  </si>
  <si>
    <t>13.02.</t>
  </si>
  <si>
    <t>SARDINEL EN CONCRETO DE 21MPa  CON UNA ALTURA DE 40cm, Y UN ANCHO DE =15cm.</t>
  </si>
  <si>
    <t>13.03.</t>
  </si>
  <si>
    <t>CANAL EN CONCRETO DE 21MPa A= 0.30 MTS</t>
  </si>
  <si>
    <t>13.04.</t>
  </si>
  <si>
    <t>ASE0</t>
  </si>
  <si>
    <t>GLB</t>
  </si>
  <si>
    <t>SUBTOTAL VARIOS</t>
  </si>
  <si>
    <t>XIV</t>
  </si>
  <si>
    <t>ALIMENTADORES Y TABLEROS</t>
  </si>
  <si>
    <t>14.1.1</t>
  </si>
  <si>
    <t>Alimentador BT tablero TDG 3X3#1/0 THHN Cu +  3#1/0 THHN Cu + 1#2 CuDD X Tubo PVC 2X2"</t>
  </si>
  <si>
    <t>14.1.2</t>
  </si>
  <si>
    <t>Suministro e instalacion interruptor termomagnetico en caja moldeda 3 x 40 A</t>
  </si>
  <si>
    <t>14.1.3</t>
  </si>
  <si>
    <t>Sumnistro e instalacion tablero de distribucion general TDG 3F-5H 400 A tablero de distribucion general TDG  metálico tipo A-CDA pintura electrostatica- norma RETIE para montar equipo de control y protección en baja tensión,  -DPS 120/208 3 fases 4 hilos, tipo II -  -  interruptor principal termoganetico en caja moldeada ajustable de 3 X 400 A / (25kA a 240 v) Barraje de cobre circuitos normales   3F-5H  400 A-  - interruptores termomagneticos en caja moldeada de acuerdo con el diagrama unifilar- barra de neutros - barra de tierras--  3 reservas</t>
  </si>
  <si>
    <t>14.1.4</t>
  </si>
  <si>
    <t>Sumninstro e  instalacion tablero 3F-5H - 12 circuitos/ espacio totalizador</t>
  </si>
  <si>
    <t>14.1.5</t>
  </si>
  <si>
    <t>Sumninstro e  instalacion tablero 3F-5H - 36 circuitos/</t>
  </si>
  <si>
    <t>14.1.6</t>
  </si>
  <si>
    <t>Sumninstro e  instalacion tablero 3F-5H - 24 circuitos/</t>
  </si>
  <si>
    <t>14.1.7</t>
  </si>
  <si>
    <t>Sumninstro e  instalacion tablero 3F-5H - 18 circuitos/ espacio totalizador</t>
  </si>
  <si>
    <t>14.1.8</t>
  </si>
  <si>
    <t>Sumninstro e  instalacion tablero 2F-4H - 12 circuitos/ en riel</t>
  </si>
  <si>
    <t>14.1.9</t>
  </si>
  <si>
    <t>Suministro e instalacion int termomagnetico enchufar 3 x 20 a 3x60 A</t>
  </si>
  <si>
    <t>14.1.10</t>
  </si>
  <si>
    <t>Suministro e instalacion de interruptores termomagneticos de enchufar 2 x 15 A o 2X 40A</t>
  </si>
  <si>
    <t>14.1.11</t>
  </si>
  <si>
    <t>Suministro e instalacion de interruptores termomagneticos de enchufar 1 X 15 A o 1 x 20 A</t>
  </si>
  <si>
    <t>14.1.12</t>
  </si>
  <si>
    <t>Instalacion de transferencia automatica en acuicultura</t>
  </si>
  <si>
    <t>14.1.13</t>
  </si>
  <si>
    <t>Instalacion planta de emergencia 6 kVA area  acuicultura</t>
  </si>
  <si>
    <t>14.1.14</t>
  </si>
  <si>
    <t>alimentador entre transferencia autom y tablero TD6 Acuicultura 3#6+1#6 +1#6 en tubo EMT 1-1/2"</t>
  </si>
  <si>
    <t>14.1.15</t>
  </si>
  <si>
    <t>alimentador entre transferencia autom y planta emergencia acuicultura 3#6+1#6 +1#6 en tubo EMT 1-1/2"</t>
  </si>
  <si>
    <t>14.1.16</t>
  </si>
  <si>
    <t>Alimentador tableros 3#4 THHN + 1#4 THHN + 1#6 THHN por bandeja</t>
  </si>
  <si>
    <t>14.1.17</t>
  </si>
  <si>
    <t>Alimentador tableros 3#1/0 THHN + 1#1/0 THHN + 1#6 THHN por bandeja</t>
  </si>
  <si>
    <t>14.1.18</t>
  </si>
  <si>
    <t>Alimentador tableros 3#2 THHN + 1#2 THHN + 1#6 THHN por bandeja</t>
  </si>
  <si>
    <t>14.1.19</t>
  </si>
  <si>
    <t>Alimentador tableros 3#6 THHN + 1#6 THHN + 1#6 THHN por tuberia PVC 1-1/2" Para laboratorio ACUICULTURA TD6</t>
  </si>
  <si>
    <t>14.1.20</t>
  </si>
  <si>
    <t>Suministro e instalacion bandeja tipo malla 20 cm x 3 mtros aterrizar tramo de bandeja con cable Cu #6 desnudo y conectores de cobre</t>
  </si>
  <si>
    <t>14.1.21</t>
  </si>
  <si>
    <t>Suministro e instalacion bandeja tipo malla 15 cm x 3 mtros</t>
  </si>
  <si>
    <t>14.1.22</t>
  </si>
  <si>
    <t>Suministro e instalacion  ducto metalico 10 x 4 cm con troquel incluye troque doble    para toma y salida datos</t>
  </si>
  <si>
    <t>14.1.23</t>
  </si>
  <si>
    <t>CAJA DE PASO CONCRETO 60 X60 CM</t>
  </si>
  <si>
    <t>SUBTOTAL ALIMENTADORES Y TABLEROS</t>
  </si>
  <si>
    <t>14.2.</t>
  </si>
  <si>
    <t>ILUMINACION Y TOMACORRIENTES</t>
  </si>
  <si>
    <t>14.2.1</t>
  </si>
  <si>
    <t>salida de iluminacion lamparas  tipo led PVC SCH-40 Cable  #14 THHN ductos PVC (SCH40) de 1/2" y/o 3/4", con accesorios ALAMBRE Cu 3#12 THHN/THWN,,cajas metalicas  octogonales  /conectores roscados/SALIDA en  caja metalica OCTOGONAL/tuberia soportada en losa con grapa metalica doble ala y chazo pistola.</t>
  </si>
  <si>
    <t>14.2.2</t>
  </si>
  <si>
    <t>salida de EMERGENCIA  PVC SCH-40 Cable  #14 THHN</t>
  </si>
  <si>
    <t>14.2.3</t>
  </si>
  <si>
    <t xml:space="preserve">salida interruptor doble   en tuberia PVC (sch40) cable #14 ductos PVC (SCH40) de 1/2" y/o 3/4", con accesorios ALAMBRE Cu 3#12 THHN/THWN,,cajas metalicas  octogonales  /conectores roscados/SALIDA en  caja metalica OCTOGONAL/tuberia soportada en losa con grapa metalica doble ala y chazo pistola </t>
  </si>
  <si>
    <t>14.2.4</t>
  </si>
  <si>
    <t>Salidas para interruptor sencillo. en tuberia PVC (sch40) y Cable  #14 Salidas para INTERRUPTOR SENCILLO ). en tuberia PVC (sch40)1 /2’ -Incluye interruptor sencillo 15 Amp.  Debidamente instalado. Ductos conduiPVC Ø ½’’  con accesorios. Conductores alambre Cu  N° 12 AWG –THHN –THWN    cajas METALICA  2x4’’ (4x4’’ donde se requiera).empalmes conectores de resorte</t>
  </si>
  <si>
    <t>14.2.5</t>
  </si>
  <si>
    <t>salida interruptor triple   en tuberia PVC (sch40) cable #14</t>
  </si>
  <si>
    <t>14.2.6</t>
  </si>
  <si>
    <t>Salida tomacorrientes dobles con polo a tierra PVC(SCH40) cable  Cu #12  tomacorrientes dobles con polo a tierra que incluyen ductos PVC (sch40)de 1/2" y/o 3/4" con accesorios,conductores 3 No.12 Cu (F,N,T)  THHN/THWN, (cables LS =LOW SMOKE),conectores roscados en caja METALICA</t>
  </si>
  <si>
    <t>14.2.7</t>
  </si>
  <si>
    <t>Salida tomacorrientes dobles con polo a tierra PVC(SCH40) cable Cu #12 ESPECIALES</t>
  </si>
  <si>
    <t>14.2.8</t>
  </si>
  <si>
    <t>Salida tomacorrientes dobles con polo a tierra PVC(SCH40) cable Cu #10 ESPECIALES</t>
  </si>
  <si>
    <t>14.2.9</t>
  </si>
  <si>
    <t>Salida tomacorrientes dobles con polo a tierra PVC(SCH40) cable Cu #12 GFCI</t>
  </si>
  <si>
    <t>Salida tomacorrientes dobles con polo a tierra PVC(SCH40) cable Cu #12 GFCI  ESPECIALES</t>
  </si>
  <si>
    <t>14.2.11</t>
  </si>
  <si>
    <t>Salida tomacorrientes dobles con polo a tierra PVC(SCH40) cable Cu #12 por bandeja</t>
  </si>
  <si>
    <t>14.2.12</t>
  </si>
  <si>
    <t>Salida tomacorrientes dobles con polo a tierra PVC(SCH40) cable Cu #12 REGULAD por bandeja</t>
  </si>
  <si>
    <t>14.2.13</t>
  </si>
  <si>
    <t>Salida tomacorrientes dobles con polo a tierra PVC(SCH40) cable Cu #12 REGULAD por tuberia</t>
  </si>
  <si>
    <t>14.2.14</t>
  </si>
  <si>
    <t>Salida tomacorrientes dobles con polo a tierra PVC(SCH40) cable Cu #12 EUROPEO</t>
  </si>
  <si>
    <t>14.2.15</t>
  </si>
  <si>
    <t>Salida TOMAS 2F  220 V ESPECIALES  PATA PLANA CABLE 3X#12</t>
  </si>
  <si>
    <t>14.2.16</t>
  </si>
  <si>
    <t>Salida TOMAS 2F  220 V ESPECIALES  PATA PLANA CABLE 3X#10</t>
  </si>
  <si>
    <t>14.2.17</t>
  </si>
  <si>
    <t>Salida TOMAS 3F  220 V ESPECIALES  PATA PLANA CABLE 4X#12</t>
  </si>
  <si>
    <t>14.2.18</t>
  </si>
  <si>
    <t>Salida TOMAS 3F  220 V ESPECIALES  PATA PLANA CABLE 4X#8</t>
  </si>
  <si>
    <t>14.2.19</t>
  </si>
  <si>
    <t>Suministro e instalacion luminaria CLEAN OWEN LENS  120X 30 cm 49w ILTEC sopotar co guaya y conexion encauchetado 3 x14 , prensa estopa y tapa caja</t>
  </si>
  <si>
    <t>14.2.20</t>
  </si>
  <si>
    <t>Suministro e instalacion luminaria CLEAN OWEN LENS  30 X 30 cm 19w ILTEC sopotar co guaya y conexion encauchetado 3 x14 , prensa estopa y tapa caja</t>
  </si>
  <si>
    <t>14.2.21</t>
  </si>
  <si>
    <t>Suministro e instalacion luminaria ALBAR LENS 33 W  ILTEC sopotar co guaya y conexion encauchetado 3 x 14 , prensa estopa y tapa caja</t>
  </si>
  <si>
    <t>14.2.22</t>
  </si>
  <si>
    <t>Suministro e instalacion BALA SATURNO 13W ILTEC sopotar coguaya y conexion encauchetado 3 x 14 , prensa estopa y tapa caja</t>
  </si>
  <si>
    <t>14.2.23</t>
  </si>
  <si>
    <t>Suministro e instalacion LUMINARIA EMERGENCIA ALENA 600L  ILTEC sopotar co guaya y conexion encauchetado 3 x 14 ,prensa estopa y tapa caja</t>
  </si>
  <si>
    <t>14.2.24</t>
  </si>
  <si>
    <t>Suministro e instalacion LETRERO "SALIDA"  ILTEC</t>
  </si>
  <si>
    <t>14.2.25</t>
  </si>
  <si>
    <t>Alimentador para salidas tomacorrientes 3 x 12</t>
  </si>
  <si>
    <t>SUBTOTAL ILUMINACION Y TOMACORRIENTES</t>
  </si>
  <si>
    <t>RED DATOS</t>
  </si>
  <si>
    <t>14.3.1</t>
  </si>
  <si>
    <t>Suministro e instalacion de RACK de DATOS  - tipo cerrado 12 RU de piso RACK de DATOS  - TIPO CERRADO DE 12RU - 19 "/2 multitomas de 6 servicios para rack 19"/Con organizadores verticales y horizontales /aterrizado con cable de Cu #6/extractores de aire de uso continuo.</t>
  </si>
  <si>
    <t>14.3.2</t>
  </si>
  <si>
    <t>Suministro PACHCORD- 3 metros  en cable UTP cat 6A conexión de los computadores</t>
  </si>
  <si>
    <t>14.3.3</t>
  </si>
  <si>
    <t>Suministro e instalacion, conexión   Pach-panel categoria 6A para rack de 19"-  24 puertos</t>
  </si>
  <si>
    <t>14.3.4</t>
  </si>
  <si>
    <t>Suministro e instalacion tablero T-UPS  / 2F-4H - 8 circuitos MINIPRAGMA</t>
  </si>
  <si>
    <t>14.3.5</t>
  </si>
  <si>
    <t>SUMINISTRO E INSTALACION ACOMETIDA  A UPS 4#8 EN TUBO EMT 1" Suministro e instalacion tuberia EMT, soportes, cable e instalacion</t>
  </si>
  <si>
    <t>14.3.6</t>
  </si>
  <si>
    <t>Salida de DATOS SENCILLA en BANDEJA portacable y tuberia  -desde centro de cableado (rack , en BANDEJA portacable y tuberia /1RA ETAPA  SOLO ENTUBADO</t>
  </si>
  <si>
    <t>14.3.7</t>
  </si>
  <si>
    <t xml:space="preserve">Salida para tomacorrientes dobles con polo a tierra REGULADOS en PVC SCH40-SOLO ENTUBADO </t>
  </si>
  <si>
    <t>14.3.8</t>
  </si>
  <si>
    <t>suministro e instalacion UPS 3 KVA 2F-4H 220/120V</t>
  </si>
  <si>
    <t>14.3.9</t>
  </si>
  <si>
    <t>certificacion punto datos sencillo</t>
  </si>
  <si>
    <t>14.3.10</t>
  </si>
  <si>
    <t>Suministro e instalacion Swich CISCO catalyst 3850 24 puertos</t>
  </si>
  <si>
    <t>POE  CAPA 3  incluye 4 puertos SFP, LAN Base</t>
  </si>
  <si>
    <t>14.3.11</t>
  </si>
  <si>
    <t>Suministro e  instalacion AP WIFI</t>
  </si>
  <si>
    <t>SUBTOTAL RED DATOS</t>
  </si>
  <si>
    <t>SUB TOTAL INSTALACIONES ELECTRICAS</t>
  </si>
  <si>
    <t>IVA sobre Utilidad</t>
  </si>
  <si>
    <t xml:space="preserve">Con el fin de verificar la experiencia específica para la contratación del objeto de la presente convocatoria, el proponente debe certificar la ejecución de: 
Máximo SEIS (6) contratos de obra civil de construcción y/o adecuación y/o mejoramiento y/o mantenimiento de escenarios deportivos o vías, donde uno (1) de estos debe ser CONSTRUCCIÓN DE PISTA ATLÉTICA SINTÉTICA y máximo dos (2) pueden ser CONSTRUCCIÓN DE PAVIMENTO FLEXIBLE. La sumatoria del valor actualizado de los contratos aportados debe ser por una cuantía igual o superior al presupuesto oficial de la presente convocatoria, relacionada con el criterio de VALOR TOTAL EJECUTADO (VTE).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territorial y en las que sea posible verificar las actividades ejecutadas en el cumplimiento de los objetos de los respectivos contratos.
Los contratos deberán haber sido suscritos por el oferente ya sea individualmente o en consorcio o unión temporal con entidades públicas o privadas, éstas últimas necesariamente deberán ser personas jurídicas. Cuando se trate de personas jurídicas privadas el oferente para acreditar la experiencia específica deberá, adicionalmente a la certificación, anexar las facturas de los servicios suministrados y/o certificación contable de pago.
Los contratos que aporte el oferente para demostrar su experiencia específica, deberán haberse ejecutado y liquidado antes del cierre de la presente convocatoria y los documentos que soporten o certifiquen esta experiencia, deberán contener como mínimo Nº del contrato, entidad contratante, objeto, fecha de inicio, fecha de finalización y valor total ejecutado. 
La Universidad de Cauca tendrá en cuenta la experiencia que presenten los proponentes en calidad de Consorcio y Unión Temporal, proporcional a su participación en dichas alianzas comerciales.
La Universidad del Cauca se reserva el derecho de verificar la información suministrada por el proponente y de solicitar las aclaraciones que considere convenientes. 
Si el contrato incumple cualquiera de los requisitos anteriores NO SERÁ tenido en cuenta para la evaluación. </t>
  </si>
  <si>
    <t>El oferente deberá diligenciar el Anexo G: EXPERIENCIA ESPECIFICA DEL PROPONENTE que se publicará en el presente proceso, este documento deberá presentarse en físico debidamente firmado y en medio digital en formato Excel (versión 97 o superior) y adicionalmente en PDF debidamente firmado. 
En caso que el proponente relacione o anexe un número superior a SEIS (6) contratos, para efectos de evaluación de la experiencia específica, únicamente se tendrán en cuenta los SEIS (6) primeros contratos relacionados en el formulario de experiencia específica (Anexo G) en orden consecutivo. Los proponentes deberán diligenciar toda la información requerida en el formulario de experiencia específica.</t>
  </si>
  <si>
    <t>En el caso de los consorcios y uniones temporales, cada uno de sus integrantes acreditará los requisitos y documentos antes mencionados, tanto si el integrante es persona natural como si es persona jurídica y cada uno de los integrantes deberán tener una participación en la estructura plural no inferior al 30%.</t>
  </si>
  <si>
    <t xml:space="preserve">En el caso de Consorcio y/o Uniones Temporales el representante legal debe ser Ingeniero Civil o Arquitecto y formar parte del Consorcio o Unión Temporal. Deberá anexar la tarjeta profesional y la vigencia de la matricula expedida por el COPNIA o la entidad competente. Los consorciados deben ser ingenieros civiles o arquitectos (cuando sean personas naturales). </t>
  </si>
  <si>
    <t xml:space="preserve">En el caso de estructura plural, el integrante que aporte la mayor experiencia específica relacionada con el criterio del VTE, deberá tener una participación mínima en la estructura plural del 40%. </t>
  </si>
  <si>
    <t>CONSORCIO TULCAN 2020</t>
  </si>
  <si>
    <t>CONSORCIO UNIDEPOR 2020</t>
  </si>
  <si>
    <t>CONSORCIO DEPORTIVO 2020</t>
  </si>
  <si>
    <t>CONVOCATORIA No. 013-2020</t>
  </si>
  <si>
    <t>ASESORIA COLOMBIA</t>
  </si>
  <si>
    <t>VALOR TOTAL EJECUTADO 
PO = $7.067.912.240</t>
  </si>
  <si>
    <t>% PARTICIPACION MINIMA A MAYOR EXPERIENCIA ESPECIFICA</t>
  </si>
  <si>
    <t>En ofertas presentadas por consorcios o uniones temporales, cada uno de los integrantes debe acreditar como mínimo el 30% de la experiencia específica relacionada con el criterio del VTE y en máximo SEIS (6)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experiencia específica habilitante).  $2.120.373.672</t>
  </si>
  <si>
    <t>VTE3</t>
  </si>
  <si>
    <t>ESDRAS SAS</t>
  </si>
  <si>
    <t>INVERSIONES CLH</t>
  </si>
  <si>
    <t>ELECTRO SAS</t>
  </si>
  <si>
    <t>SANCHEZ LEMUS</t>
  </si>
  <si>
    <t>GAVIRIA SILVA</t>
  </si>
  <si>
    <t>CASTRO SPADOFFORA</t>
  </si>
  <si>
    <t>Director de obra</t>
  </si>
  <si>
    <r>
      <t xml:space="preserve">a. Cada una de las certificaciones de experiencia especifica en relación con el tiempo laborado en cada uno de los cargos del personal deberá ser </t>
    </r>
    <r>
      <rPr>
        <b/>
        <u/>
        <sz val="10"/>
        <rFont val="Arial Narrow"/>
        <family val="2"/>
      </rPr>
      <t>igual o mayor a tres (3) meses</t>
    </r>
    <r>
      <rPr>
        <sz val="10"/>
        <rFont val="Arial Narrow"/>
        <family val="2"/>
      </rPr>
      <t xml:space="preserve">. 
b. En las certificaciones de experiencia especifica </t>
    </r>
    <r>
      <rPr>
        <b/>
        <u/>
        <sz val="10"/>
        <rFont val="Arial Narrow"/>
        <family val="2"/>
      </rPr>
      <t>no se admiten firmas escaneadas, ni copiadas y que sean pegadas en las certificaciones</t>
    </r>
    <r>
      <rPr>
        <sz val="10"/>
        <rFont val="Arial Narrow"/>
        <family val="2"/>
      </rPr>
      <t xml:space="preserve">, ni en los documentos soporte, cuya fecha de expedición sea anterior a la fecha de declaratoria del primer aislamiento preventivo declarado por el Gobierno Nacional del presente año. Se admiten firmas electrónicas, de conformidad con lo previsto en la Ley 527 de 1999 y el Decreto 2364 de 2012, anexando los soportes de la firma electrónica. </t>
    </r>
  </si>
  <si>
    <t>Residente de obra</t>
  </si>
  <si>
    <t xml:space="preserve">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t>
  </si>
  <si>
    <r>
      <t xml:space="preserve">Las certificaciones de la experiencia específica </t>
    </r>
    <r>
      <rPr>
        <b/>
        <u/>
        <sz val="10"/>
        <rFont val="Arial Narrow"/>
        <family val="2"/>
      </rPr>
      <t>como director de obra</t>
    </r>
    <r>
      <rPr>
        <sz val="10"/>
        <rFont val="Arial Narrow"/>
        <family val="2"/>
      </rPr>
      <t xml:space="preserve">,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</si>
  <si>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r>
      <t xml:space="preserve">Las certificaciones de la experiencia específica </t>
    </r>
    <r>
      <rPr>
        <b/>
        <u/>
        <sz val="10"/>
        <rFont val="Arial Narrow"/>
        <family val="2"/>
      </rPr>
      <t>como contratista de obra pública</t>
    </r>
    <r>
      <rPr>
        <sz val="10"/>
        <rFont val="Arial Narrow"/>
        <family val="2"/>
      </rPr>
      <t xml:space="preserve">,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Se debe anexar el acta de recibo final de obra y/o acta de liquidación del contrato. </t>
    </r>
  </si>
  <si>
    <t xml:space="preserve">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t>
  </si>
  <si>
    <r>
      <t xml:space="preserve">Las certificaciones de la experiencia específica </t>
    </r>
    <r>
      <rPr>
        <b/>
        <u/>
        <sz val="10"/>
        <rFont val="Arial Narrow"/>
        <family val="2"/>
      </rPr>
      <t xml:space="preserve">como director o residente de obra </t>
    </r>
    <r>
      <rPr>
        <sz val="10"/>
        <rFont val="Arial Narrow"/>
        <family val="2"/>
      </rPr>
      <t>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</si>
  <si>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r>
      <t xml:space="preserve">Las certificaciones de la experiencia específica </t>
    </r>
    <r>
      <rPr>
        <b/>
        <u/>
        <sz val="10"/>
        <rFont val="Arial Narrow"/>
        <family val="2"/>
      </rPr>
      <t>como contratista de obra pública</t>
    </r>
    <r>
      <rPr>
        <sz val="10"/>
        <rFont val="Arial Narrow"/>
        <family val="2"/>
      </rPr>
      <t>,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Se debe anexar el acta de recibo final de obra y/o acta de liquidación del contrato.</t>
    </r>
  </si>
  <si>
    <t>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t>
  </si>
  <si>
    <r>
      <t xml:space="preserve">Las certificaciones de la experiencia específica </t>
    </r>
    <r>
      <rPr>
        <b/>
        <u/>
        <sz val="10"/>
        <rFont val="Arial Narrow"/>
        <family val="2"/>
      </rPr>
      <t>como maestro de obra</t>
    </r>
    <r>
      <rPr>
        <sz val="10"/>
        <rFont val="Arial Narrow"/>
        <family val="2"/>
      </rPr>
      <t>,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se debe anexar el acta de recibo final de obra y/o acta de liquidación del contrato.</t>
    </r>
  </si>
  <si>
    <r>
      <rPr>
        <b/>
        <sz val="10"/>
        <rFont val="Arial Narrow"/>
        <family val="2"/>
      </rPr>
      <t>Maestro de obra.</t>
    </r>
    <r>
      <rPr>
        <sz val="10"/>
        <rFont val="Arial Narrow"/>
        <family val="2"/>
      </rPr>
      <t xml:space="preserve"> Un (1) maestro de obra, tecnólogo en construcción o técnico en construcción con al menos diez (10) años de experiencia general, contados a partir de la expedición de la matricula profesional, con </t>
    </r>
    <r>
      <rPr>
        <b/>
        <u/>
        <sz val="10"/>
        <rFont val="Arial Narrow"/>
        <family val="2"/>
      </rPr>
      <t>100% de disponibilidad de tiempo en obra</t>
    </r>
    <r>
      <rPr>
        <sz val="10"/>
        <rFont val="Arial Narrow"/>
        <family val="2"/>
      </rPr>
      <t xml:space="preserve">, y experiencia específica certificada en al menos tres (03) contratos como: maestro de obra donde ha realizado la construcción y/o adecuación y/o mejoramiento y/o mantenimiento de escenarios deportivos. </t>
    </r>
  </si>
  <si>
    <r>
      <rPr>
        <b/>
        <sz val="10"/>
        <rFont val="Arial Narrow"/>
        <family val="2"/>
      </rPr>
      <t>Residente de Obra.</t>
    </r>
    <r>
      <rPr>
        <sz val="10"/>
        <rFont val="Arial Narrow"/>
        <family val="2"/>
      </rPr>
      <t xml:space="preserve"> Un (1) ingeniero civil o arquitecto con al menos diez (10) años de experiencia general, contados a partir de la expedición de la matricula profesional con </t>
    </r>
    <r>
      <rPr>
        <b/>
        <u/>
        <sz val="10"/>
        <rFont val="Arial Narrow"/>
        <family val="2"/>
      </rPr>
      <t>100% de disponibilidad de tiempo en obra</t>
    </r>
    <r>
      <rPr>
        <sz val="10"/>
        <rFont val="Arial Narrow"/>
        <family val="2"/>
      </rPr>
      <t xml:space="preserve">, y experiencia específica certificada en </t>
    </r>
    <r>
      <rPr>
        <b/>
        <u/>
        <sz val="10"/>
        <rFont val="Arial Narrow"/>
        <family val="2"/>
      </rPr>
      <t>mínimo tres (03) contratos</t>
    </r>
    <r>
      <rPr>
        <sz val="10"/>
        <rFont val="Arial Narrow"/>
        <family val="2"/>
      </rPr>
      <t xml:space="preserve"> como: </t>
    </r>
    <r>
      <rPr>
        <b/>
        <u/>
        <sz val="10"/>
        <rFont val="Arial Narrow"/>
        <family val="2"/>
      </rPr>
      <t>director o residente</t>
    </r>
    <r>
      <rPr>
        <sz val="10"/>
        <rFont val="Arial Narrow"/>
        <family val="2"/>
      </rPr>
      <t xml:space="preserve"> de construcción y/o adecuación y/o mejoramiento y/o mantenimiento de escenarios deportivos o como </t>
    </r>
    <r>
      <rPr>
        <b/>
        <u/>
        <sz val="10"/>
        <rFont val="Arial Narrow"/>
        <family val="2"/>
      </rPr>
      <t>contratista de obra</t>
    </r>
    <r>
      <rPr>
        <sz val="10"/>
        <rFont val="Arial Narrow"/>
        <family val="2"/>
      </rPr>
      <t xml:space="preserve"> en construcción y/o adecuación y/o mejoramiento y/o mantenimiento de escenarios deportivos, cuya sumatoria sea </t>
    </r>
    <r>
      <rPr>
        <b/>
        <u/>
        <sz val="10"/>
        <rFont val="Arial Narrow"/>
        <family val="2"/>
      </rPr>
      <t>mínimo el 15% relacionada con el criterio del VTE</t>
    </r>
    <r>
      <rPr>
        <sz val="10"/>
        <rFont val="Arial Narrow"/>
        <family val="2"/>
      </rPr>
      <t xml:space="preserve">. </t>
    </r>
  </si>
  <si>
    <r>
      <rPr>
        <b/>
        <sz val="10"/>
        <rFont val="Arial Narrow"/>
        <family val="2"/>
      </rPr>
      <t>Director de obra:</t>
    </r>
    <r>
      <rPr>
        <sz val="10"/>
        <rFont val="Arial Narrow"/>
        <family val="2"/>
      </rPr>
      <t xml:space="preserve"> Un (1) ingeniero civil o arquitecto, con al menos diez (10) años de experiencia general, contados a partir de la expedición de la matricula profesional y con una experiencia específica certificada en </t>
    </r>
    <r>
      <rPr>
        <b/>
        <u/>
        <sz val="10"/>
        <rFont val="Arial Narrow"/>
        <family val="2"/>
      </rPr>
      <t>al menos tres (03) contratos</t>
    </r>
    <r>
      <rPr>
        <sz val="10"/>
        <rFont val="Arial Narrow"/>
        <family val="2"/>
      </rPr>
      <t xml:space="preserve"> como: </t>
    </r>
    <r>
      <rPr>
        <b/>
        <u/>
        <sz val="10"/>
        <rFont val="Arial Narrow"/>
        <family val="2"/>
      </rPr>
      <t>director de obra</t>
    </r>
    <r>
      <rPr>
        <sz val="10"/>
        <rFont val="Arial Narrow"/>
        <family val="2"/>
      </rPr>
      <t xml:space="preserve"> en construcción y/o adecuación y/o mejoramiento y/o mantenimiento de escenarios deportivos o como </t>
    </r>
    <r>
      <rPr>
        <b/>
        <u/>
        <sz val="10"/>
        <rFont val="Arial Narrow"/>
        <family val="2"/>
      </rPr>
      <t>contratista de obra</t>
    </r>
    <r>
      <rPr>
        <sz val="10"/>
        <rFont val="Arial Narrow"/>
        <family val="2"/>
      </rPr>
      <t xml:space="preserve"> en construcción y/o adecuación y/o mejoramiento y/o mantenimiento de escenarios deportivos, cuya sumatoria sea </t>
    </r>
    <r>
      <rPr>
        <b/>
        <u/>
        <sz val="10"/>
        <rFont val="Arial Narrow"/>
        <family val="2"/>
      </rPr>
      <t>mínimo el 10% relacionada con el criterio del VTE</t>
    </r>
    <r>
      <rPr>
        <sz val="10"/>
        <rFont val="Arial Narrow"/>
        <family val="2"/>
      </rPr>
      <t>. El director de obra será el articulador entre la Universidad del Cauca, La Firma Consultora,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 
El Director de obra ofrecido puede ser el mismo oferente cuando se trate de persona natural o persona natural integrante de un consorcio o unión temporal que cumpla con las condiciones y requisitos del presente pliego de condiciones.</t>
    </r>
  </si>
  <si>
    <t>Maestro de obra</t>
  </si>
  <si>
    <t xml:space="preserve">La acreditación de la experiencia general será soportada con Carta de compromiso original (Anexo H), debidamente suscrita (no se admiten firmas escaneadas, fotocopiadas etc.) </t>
  </si>
  <si>
    <t>Las certificaciones de la experiencia específica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</si>
  <si>
    <r>
      <rPr>
        <b/>
        <sz val="10"/>
        <rFont val="Arial Narrow"/>
        <family val="2"/>
      </rPr>
      <t>Profesional en salud ocupacional.</t>
    </r>
    <r>
      <rPr>
        <sz val="10"/>
        <rFont val="Arial Narrow"/>
        <family val="2"/>
      </rPr>
      <t xml:space="preserve"> Un (1) profesional en un área de salud ocupacional o tecnólogo en salud ocupacional o técnico en salud ocupacional o profesional con especialización en un área de salud ocupacional, los cuales deberán certificar al menos cinco (5) años de experiencia general, contados a partir de expedición de la resolución que le concede licencia para prestar servicios en salud ocupacional. Su disponibilidad para el proyecto debe ser </t>
    </r>
    <r>
      <rPr>
        <b/>
        <u/>
        <sz val="10"/>
        <rFont val="Arial Narrow"/>
        <family val="2"/>
      </rPr>
      <t>100% de tiempo en obra</t>
    </r>
    <r>
      <rPr>
        <sz val="10"/>
        <rFont val="Arial Narrow"/>
        <family val="2"/>
      </rPr>
      <t xml:space="preserve">. La licencia deberá estar vigente a la fecha de cierre de la presente convocatoria y experiencia específica certificada en la participación de </t>
    </r>
    <r>
      <rPr>
        <b/>
        <u/>
        <sz val="10"/>
        <rFont val="Arial Narrow"/>
        <family val="2"/>
      </rPr>
      <t>al menos tres (3) contratos como profesional SISOMA</t>
    </r>
    <r>
      <rPr>
        <sz val="10"/>
        <rFont val="Arial Narrow"/>
        <family val="2"/>
      </rPr>
      <t xml:space="preserve"> donde se ha realizado la construcción y/o adecuación y/o mejoramiento y/o mantenimiento de escenarios deportivos.</t>
    </r>
  </si>
  <si>
    <t>Profesional en salud ocupacional</t>
  </si>
  <si>
    <t xml:space="preserve">ASESOR ESTRUCTURAL DURANTE LA EJECUCIÓN DE LA OBRA, CON DEDICACIÓN MÍNIMA DE 20% (100 puntos) </t>
  </si>
  <si>
    <t xml:space="preserve">ASESOR EN PAVIMENTOS DURANTE LA EJECUCIÓN DE LA OBRA, CON DEDICACIÓN MÍNIMA DE 20% (100 puntos) </t>
  </si>
  <si>
    <t xml:space="preserve">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Copia del diploma o acta de grado mediante la cual obtuvo el título de posgrado 
d. Carta de compromiso original (Anexo H), debidamente suscrita (no se admiten firmas escaneadas, fotocopiadas, etc.). </t>
  </si>
  <si>
    <r>
      <t xml:space="preserve">La acreditación de la experiencia específica </t>
    </r>
    <r>
      <rPr>
        <b/>
        <u/>
        <sz val="10"/>
        <rFont val="Arial Narrow"/>
        <family val="2"/>
      </rPr>
      <t>como contratista de consultoría estructural</t>
    </r>
    <r>
      <rPr>
        <sz val="10"/>
        <rFont val="Arial Narrow"/>
        <family val="2"/>
      </rPr>
      <t>, cuyo objeto esté relacionado con escenarios deportivos,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y/o acta de liquidación del contrato.</t>
    </r>
  </si>
  <si>
    <r>
      <t>El asesor estructural debe ser un</t>
    </r>
    <r>
      <rPr>
        <b/>
        <u/>
        <sz val="10"/>
        <rFont val="Arial Narrow"/>
        <family val="2"/>
      </rPr>
      <t xml:space="preserve"> ingeniero civil con título de posgrado en estructuras</t>
    </r>
    <r>
      <rPr>
        <sz val="10"/>
        <rFont val="Arial Narrow"/>
        <family val="2"/>
      </rPr>
      <t xml:space="preserve"> (especialización y/o maestría y/o doctorado), con experiencia general igual o superior a 10 años contados a partir de la obtención del título de posgrado, y con experiencia específica certificada con participación de </t>
    </r>
    <r>
      <rPr>
        <b/>
        <u/>
        <sz val="10"/>
        <rFont val="Arial Narrow"/>
        <family val="2"/>
      </rPr>
      <t>al menos tres (03) contratos</t>
    </r>
    <r>
      <rPr>
        <sz val="10"/>
        <rFont val="Arial Narrow"/>
        <family val="2"/>
      </rPr>
      <t xml:space="preserve"> como: </t>
    </r>
    <r>
      <rPr>
        <b/>
        <u/>
        <sz val="10"/>
        <rFont val="Arial Narrow"/>
        <family val="2"/>
      </rPr>
      <t>consultor estructural o asesor estructural</t>
    </r>
    <r>
      <rPr>
        <sz val="10"/>
        <rFont val="Arial Narrow"/>
        <family val="2"/>
      </rPr>
      <t>, en construcción y/o adecuación y/o mejoramiento y/o mantenimiento de escenarios deportivos.</t>
    </r>
  </si>
  <si>
    <r>
      <t xml:space="preserve">El asesor en pavimentos debe ser un </t>
    </r>
    <r>
      <rPr>
        <b/>
        <u/>
        <sz val="10"/>
        <rFont val="Arial Narrow"/>
        <family val="2"/>
      </rPr>
      <t>ingeniero civil con título de posgrado en pavimentos</t>
    </r>
    <r>
      <rPr>
        <sz val="10"/>
        <rFont val="Arial Narrow"/>
        <family val="2"/>
      </rPr>
      <t xml:space="preserve"> (especialización y/o maestría y/o doctorado), con experiencia general igual o superior a 10 años contados a partir de la obtención del título de posgrado, y con experiencia específica certificada con participación de</t>
    </r>
    <r>
      <rPr>
        <b/>
        <u/>
        <sz val="10"/>
        <rFont val="Arial Narrow"/>
        <family val="2"/>
      </rPr>
      <t xml:space="preserve"> al menos tres (03) contratos</t>
    </r>
    <r>
      <rPr>
        <sz val="10"/>
        <rFont val="Arial Narrow"/>
        <family val="2"/>
      </rPr>
      <t xml:space="preserve"> como: </t>
    </r>
    <r>
      <rPr>
        <b/>
        <u/>
        <sz val="10"/>
        <rFont val="Arial Narrow"/>
        <family val="2"/>
      </rPr>
      <t>consultor en pavimentos o asesor en pavimentos</t>
    </r>
    <r>
      <rPr>
        <sz val="10"/>
        <rFont val="Arial Narrow"/>
        <family val="2"/>
      </rPr>
      <t xml:space="preserve">, en construcción y/o adecuación y/o mejoramiento y/o mantenimiento de los siguientes tipos de proyectos; vías y/o escenarios deportivos y/o edificaciones públicas especializadas. </t>
    </r>
  </si>
  <si>
    <t>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Copia del acta de grado o diploma mediante la cual obtuvo el título de especialista en pavimentos 
d. Carta de compromiso original (Anexo H), debidamente suscrita (no se admiten firmas escaneadas, fotocopiadas, etc.).</t>
  </si>
  <si>
    <r>
      <t xml:space="preserve">La acreditación de la experiencia específica </t>
    </r>
    <r>
      <rPr>
        <b/>
        <u/>
        <sz val="10"/>
        <rFont val="Arial Narrow"/>
        <family val="2"/>
      </rPr>
      <t>como contratista de consultoría en pavimentos</t>
    </r>
    <r>
      <rPr>
        <sz val="10"/>
        <rFont val="Arial Narrow"/>
        <family val="2"/>
      </rPr>
      <t>, cuyo objeto esté relacionado en vías y/o escenarios deportivos y/o edificaciones públicas especializadas,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y/o acta de liquidación del contrato.</t>
    </r>
  </si>
  <si>
    <t>ASESOR EN PAVIMENTOS</t>
  </si>
  <si>
    <t>ASESOR ESTRUCTURAL</t>
  </si>
  <si>
    <t xml:space="preserve">ASESOR ELÉCTRICO DURANTE LA EJECUCIÓN DE LA OBRA, CON DEDICACIÓN MÍNIMA DE 20% (100 puntos) </t>
  </si>
  <si>
    <r>
      <t xml:space="preserve">El asesor eléctrico debe ser un </t>
    </r>
    <r>
      <rPr>
        <b/>
        <u/>
        <sz val="10"/>
        <rFont val="Arial Narrow"/>
        <family val="2"/>
      </rPr>
      <t>ingeniero eléctrico y/o electricista</t>
    </r>
    <r>
      <rPr>
        <sz val="10"/>
        <rFont val="Arial Narrow"/>
        <family val="2"/>
      </rPr>
      <t xml:space="preserve">, con experiencia general igual o superior a 10 años contados a partir de la obtención del título y con experiencia específica certificada con participación de </t>
    </r>
    <r>
      <rPr>
        <b/>
        <u/>
        <sz val="10"/>
        <rFont val="Arial Narrow"/>
        <family val="2"/>
      </rPr>
      <t>al menos tres (03) contratos</t>
    </r>
    <r>
      <rPr>
        <sz val="10"/>
        <rFont val="Arial Narrow"/>
        <family val="2"/>
      </rPr>
      <t xml:space="preserve"> como: </t>
    </r>
    <r>
      <rPr>
        <b/>
        <u/>
        <sz val="10"/>
        <rFont val="Arial Narrow"/>
        <family val="2"/>
      </rPr>
      <t>consultor eléctrico o asesor eléctrico</t>
    </r>
    <r>
      <rPr>
        <sz val="10"/>
        <rFont val="Arial Narrow"/>
        <family val="2"/>
      </rPr>
      <t xml:space="preserve">, en construcción y/o adecuación y/o mejoramiento y/o mantenimiento de, escenarios deportivos y/o edificaciones públicas especializadas. </t>
    </r>
  </si>
  <si>
    <t xml:space="preserve">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Copia del diploma o acta de grado mediante la cual obtuvo el título. 
d. Carta de compromiso original (Anexo H), debidamente suscrita (no se admiten firmas escaneadas, fotocopiadas, etc.). </t>
  </si>
  <si>
    <r>
      <t xml:space="preserve">Las certificaciones de la experiencia específica </t>
    </r>
    <r>
      <rPr>
        <b/>
        <u/>
        <sz val="10"/>
        <rFont val="Arial Narrow"/>
        <family val="2"/>
      </rPr>
      <t>como asesor eléctrico</t>
    </r>
    <r>
      <rPr>
        <sz val="10"/>
        <rFont val="Arial Narrow"/>
        <family val="2"/>
      </rPr>
      <t xml:space="preserve"> serán soportadas conforme a los siguientes requerimientos: 
a. Ser suscritas por la entidad pública y/o entidad privada contratante (exceptuando de estas últimas, las personas naturales, consorcios y uniones temporales) 
o 
b. En ambos casos (a y b) no se admiten autocertificaciones. 
c. En ambos casos (a y b) se debe anexar el acta de recibo final de obra y/o acta de liquidación del contrato.</t>
    </r>
  </si>
  <si>
    <r>
      <t xml:space="preserve">La acreditación de la experiencia específica </t>
    </r>
    <r>
      <rPr>
        <b/>
        <u/>
        <sz val="10"/>
        <rFont val="Arial Narrow"/>
        <family val="2"/>
      </rPr>
      <t>como contratista de consultoría eléctrica</t>
    </r>
    <r>
      <rPr>
        <sz val="10"/>
        <rFont val="Arial Narrow"/>
        <family val="2"/>
      </rPr>
      <t>, cuyo objeto esté relacionado en construcción y/o adecuación y/o mejoramiento y/o mantenimiento de, escenarios deportivos y/o edificaciones públicas especializadas,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y/o acta de liquidación del contrato.</t>
    </r>
  </si>
  <si>
    <r>
      <t xml:space="preserve">Las certificaciones de la experiencia específica </t>
    </r>
    <r>
      <rPr>
        <b/>
        <u/>
        <sz val="10"/>
        <rFont val="Arial Narrow"/>
        <family val="2"/>
      </rPr>
      <t>como asesor estructural</t>
    </r>
    <r>
      <rPr>
        <sz val="10"/>
        <rFont val="Arial Narrow"/>
        <family val="2"/>
      </rPr>
      <t xml:space="preserve">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se debe anexar el acta de recibo final de obra y/o acta de liquidación del contrato.</t>
    </r>
  </si>
  <si>
    <t>ASESOR ELECTRICO</t>
  </si>
  <si>
    <r>
      <t>a. La certificación de experiencia especifica en relación con el tiempo laborado en cada uno de los cargos del personal asesor deberá ser</t>
    </r>
    <r>
      <rPr>
        <b/>
        <u/>
        <sz val="10"/>
        <rFont val="Arial Narrow"/>
        <family val="2"/>
      </rPr>
      <t xml:space="preserve"> igual o mayor a tres (3) meses</t>
    </r>
    <r>
      <rPr>
        <sz val="10"/>
        <rFont val="Arial Narrow"/>
        <family val="2"/>
      </rPr>
      <t>. 
b. En las certificaciones de experiencia especifica no se admiten</t>
    </r>
    <r>
      <rPr>
        <b/>
        <u/>
        <sz val="10"/>
        <rFont val="Arial Narrow"/>
        <family val="2"/>
      </rPr>
      <t xml:space="preserve"> firmas escaneadas, ni copiadas y que sean pegadas en las certificaciones</t>
    </r>
    <r>
      <rPr>
        <sz val="10"/>
        <rFont val="Arial Narrow"/>
        <family val="2"/>
      </rPr>
      <t xml:space="preserve">, ni en los documentos soporte, cuya fecha de expedición sea anterior a la fecha de declaratoria del primer aislamiento preventivo declarado por el Gobierno Nacional del presente año. Se admiten firmas electrónicas, de conformidad con lo previsto en la Ley 527 de 1999 y el Decreto 2364 de 2012, anexando los soportes de la firma electrónica. 
e. </t>
    </r>
    <r>
      <rPr>
        <b/>
        <u/>
        <sz val="10"/>
        <rFont val="Arial Narrow"/>
        <family val="2"/>
      </rPr>
      <t>El ingeniero residente no puede ser el mismo asesor en cualquiera de las disciplinas</t>
    </r>
    <r>
      <rPr>
        <sz val="10"/>
        <rFont val="Arial Narrow"/>
        <family val="2"/>
      </rPr>
      <t xml:space="preserve"> que se mencionan en el numeral 3.2 de estos pliegos de condiciones y que son sujetos a asignación de puntaje.  En el caso en que llegase a darse esta situación, y si el ingeniero residente cumple con todas las condiciones habilitantes, sería habilitado, pero no sería sujeto a asignación de puntaje.</t>
    </r>
  </si>
  <si>
    <t xml:space="preserve">EXPERIENCIA ADICIONAL A LA MÍNIMA HABILITANTE (100 puntos) </t>
  </si>
  <si>
    <r>
      <t xml:space="preserve">Cumplido el requisito mínimo habilitante de PERSONAL MÍNIMO REQUERIDO, se otorgará puntaje adicional a la experiencia especifica del ingeniero director y del ingeniero residente, superior a la mínima requerida y acreditada por él oferente, así: 
</t>
    </r>
    <r>
      <rPr>
        <b/>
        <sz val="10"/>
        <rFont val="Arial Narrow"/>
        <family val="2"/>
      </rPr>
      <t>Director</t>
    </r>
    <r>
      <rPr>
        <sz val="10"/>
        <rFont val="Arial Narrow"/>
        <family val="2"/>
      </rPr>
      <t xml:space="preserve">: En al menos un (01) contrato adicional como: </t>
    </r>
    <r>
      <rPr>
        <b/>
        <u/>
        <sz val="10"/>
        <rFont val="Arial Narrow"/>
        <family val="2"/>
      </rPr>
      <t>director de obra</t>
    </r>
    <r>
      <rPr>
        <sz val="10"/>
        <rFont val="Arial Narrow"/>
        <family val="2"/>
      </rPr>
      <t xml:space="preserve"> en construcción y/o adecuación y/o mejoramiento y/o mantenimiento de escenarios deportivos o como </t>
    </r>
    <r>
      <rPr>
        <b/>
        <u/>
        <sz val="10"/>
        <rFont val="Arial Narrow"/>
        <family val="2"/>
      </rPr>
      <t>contratista de obra</t>
    </r>
    <r>
      <rPr>
        <sz val="10"/>
        <rFont val="Arial Narrow"/>
        <family val="2"/>
      </rPr>
      <t xml:space="preserve"> en construcción y/o adecuación y/o mejoramiento y/o mantenimiento de escenarios deportivos, cuya sumatoria sea </t>
    </r>
    <r>
      <rPr>
        <b/>
        <u/>
        <sz val="10"/>
        <rFont val="Arial Narrow"/>
        <family val="2"/>
      </rPr>
      <t>mínimo el 3% relacionada con el criterio del VTE</t>
    </r>
    <r>
      <rPr>
        <sz val="10"/>
        <rFont val="Arial Narrow"/>
        <family val="2"/>
      </rPr>
      <t xml:space="preserve">. 
</t>
    </r>
    <r>
      <rPr>
        <b/>
        <sz val="10"/>
        <rFont val="Arial Narrow"/>
        <family val="2"/>
      </rPr>
      <t>Residente</t>
    </r>
    <r>
      <rPr>
        <sz val="10"/>
        <rFont val="Arial Narrow"/>
        <family val="2"/>
      </rPr>
      <t xml:space="preserve">: En al menos un (01) contrato adicional como: </t>
    </r>
    <r>
      <rPr>
        <b/>
        <u/>
        <sz val="10"/>
        <rFont val="Arial Narrow"/>
        <family val="2"/>
      </rPr>
      <t>director o residente</t>
    </r>
    <r>
      <rPr>
        <sz val="10"/>
        <rFont val="Arial Narrow"/>
        <family val="2"/>
      </rPr>
      <t xml:space="preserve"> de construcción y/o adecuación y/o mejoramiento y/o mantenimiento de escenarios deportivos o como </t>
    </r>
    <r>
      <rPr>
        <b/>
        <u/>
        <sz val="10"/>
        <rFont val="Arial Narrow"/>
        <family val="2"/>
      </rPr>
      <t xml:space="preserve">contratista de obra </t>
    </r>
    <r>
      <rPr>
        <sz val="10"/>
        <rFont val="Arial Narrow"/>
        <family val="2"/>
      </rPr>
      <t xml:space="preserve">en construcción y/o adecuación y/o mejoramiento y/o mantenimiento de escenarios deportivos, cuyo valor sea </t>
    </r>
    <r>
      <rPr>
        <b/>
        <u/>
        <sz val="10"/>
        <rFont val="Arial Narrow"/>
        <family val="2"/>
      </rPr>
      <t>mínimo el 5% relacionada con el criterio del VTE</t>
    </r>
    <r>
      <rPr>
        <sz val="10"/>
        <rFont val="Arial Narrow"/>
        <family val="2"/>
      </rPr>
      <t xml:space="preserve">.
La asignación del puntaje solo se hará para el oferente que cumpla en su totalidad el requerimiento y solo en ese caso será la máxima que corresponde a 100 puntos.  De lo contrario, el puntaje que se asignará será cero (0) puntos.  No habrá puntuación intermedia. </t>
    </r>
  </si>
  <si>
    <t>EXPERIENCIA ADICIONAL DIRECTOR Y RESIDENTE</t>
  </si>
  <si>
    <t>CONVOCATORIA PÚBLICA N° 013 DE 2020</t>
  </si>
  <si>
    <t xml:space="preserve">OBJETO: CONSTRUCCIÓN DE OBRAS PARA EL MEJORAMIENTO DE LAS CONDICIONES DEL CENTRO DEPORTIVO UNIVERSITARIO TULCÁN DE LA UNIVERSIDAD DEL CAUCA EN EL MUNICIPIO DE POPAYÁN, DEPARTAMENTO DEL CAUCA. </t>
  </si>
  <si>
    <t xml:space="preserve">VERIFICACIÓN REQUISITOS TECNICOS HABILITANTES - PROPONENTES </t>
  </si>
  <si>
    <t xml:space="preserve">CÁLCULO K RESIDUAL DEL PROPONENTE </t>
  </si>
  <si>
    <t>PRESUPUESTO OFICIAL:</t>
  </si>
  <si>
    <t>PLAZO ESTIMADO DEL CONTRATO:  (MESES)</t>
  </si>
  <si>
    <t>CAPACIDAD RESIDUAL DEL PROCESO DE CONTRATACION:</t>
  </si>
  <si>
    <t>ANTICIPO O PAGO ANTICIPADO:</t>
  </si>
  <si>
    <t>DOLAR DIA CIERRE:</t>
  </si>
  <si>
    <t>UMBRAL MIPYME:</t>
  </si>
  <si>
    <t>No</t>
  </si>
  <si>
    <t>INTEGRANTE</t>
  </si>
  <si>
    <t>% de Participación</t>
  </si>
  <si>
    <t>EXPERIENCIA                                                 (Valor total contratado REPORTADOS EN EL RUP en el segmento 720000 en Pesos)</t>
  </si>
  <si>
    <t xml:space="preserve">Factor de Experiencia </t>
  </si>
  <si>
    <t>Indice de Liquidez
RUP</t>
  </si>
  <si>
    <t>No de Profesionales a cargo</t>
  </si>
  <si>
    <t>Ingresos Operacionales (Pesos)</t>
  </si>
  <si>
    <t>Capacidad de Organización
( CO )</t>
  </si>
  <si>
    <t>Puntaje Experiencia
( E )</t>
  </si>
  <si>
    <t>Capacidad Fianciera
( CF )</t>
  </si>
  <si>
    <t>Capacidad Técnica
( CT )</t>
  </si>
  <si>
    <t>ENTIDAD CONTRATANTE</t>
  </si>
  <si>
    <t>No DEL CONTRATO</t>
  </si>
  <si>
    <t>OBJETO DEL CONTRATO</t>
  </si>
  <si>
    <t xml:space="preserve">VLR. CONTRATO </t>
  </si>
  <si>
    <t>FECHA DE INICIO</t>
  </si>
  <si>
    <t>PLAZO       ( DIAS )</t>
  </si>
  <si>
    <t>MODALIDAD</t>
  </si>
  <si>
    <t>% DE PARTIC.
(PN = 100%)</t>
  </si>
  <si>
    <t>% AVANCE</t>
  </si>
  <si>
    <t>DIAS  EJECUTADOS</t>
  </si>
  <si>
    <t>DIAS POR  EJECUTAR</t>
  </si>
  <si>
    <t>Saldo a la Fecha Contrato en Ejecución</t>
  </si>
  <si>
    <t>P.N.</t>
  </si>
  <si>
    <t>C.</t>
  </si>
  <si>
    <t>U.T.</t>
  </si>
  <si>
    <t>CONTRATOS EN EJECUCIÓN:</t>
  </si>
  <si>
    <t>SUMATORIA TOTAL ( S.C.E ):</t>
  </si>
  <si>
    <t>SIN INICIAR</t>
  </si>
  <si>
    <t>CAPACIDAD RESIDUAL :</t>
  </si>
  <si>
    <t>=</t>
  </si>
  <si>
    <t>No. DEL CONTRATO</t>
  </si>
  <si>
    <t>Rep. Legal Jorge Enrique Vasquez Alban</t>
  </si>
  <si>
    <t>Rep. Legal Mauricio Chavez Calle</t>
  </si>
  <si>
    <t>Rep. Legal Fredy Canencio Sanchez</t>
  </si>
  <si>
    <t>FERNANDO JOSE CASTRO SPADAFFORA</t>
  </si>
  <si>
    <t>GAVIRIA SILVA MARCO JAVIER</t>
  </si>
  <si>
    <t>MC CONSTRUCCIONES Y CONSULTORIAS S.A.S.</t>
  </si>
  <si>
    <t>ESDRAS MD INGENIERIA SAS</t>
  </si>
  <si>
    <t>INVERSIONES CLH S.A.</t>
  </si>
  <si>
    <t>ELECTRO PROYECTOS S.A.S.</t>
  </si>
  <si>
    <t>ALBERTO ANIBAL SANCHEZ LEMUS</t>
  </si>
  <si>
    <t>Al 02 de julio de 2020</t>
  </si>
  <si>
    <t>CALIFICACION PERSONAL</t>
  </si>
  <si>
    <t>JOSE LUIS GARZON</t>
  </si>
  <si>
    <t>2.3.2</t>
  </si>
  <si>
    <t xml:space="preserve">CAPACIDAD RESIDUAL DEL PROPONENTE </t>
  </si>
  <si>
    <t>K RESIDUAL</t>
  </si>
  <si>
    <t xml:space="preserve">Teniendo en cuenta el decreto 791 del 22 de abril de 2014, “Por el cual se reglamenta al artículo 72 de la Ley 1682 de 2013 y se modifica el artículo 18 del Decreto 1510 de 2013” (hoy decreto 1082 de 2015), el cálculo de la capacidad residual se hará de acuerdo a la Guía para Determinar y Verificar la Capacidad Residual del Proponente en los Procesos de Contratación de Obra Pública.  (Versión 2), publicada por Colombia Compra eficiente así: 
La capacidad residual del proceso de Contratación es de (Presupuesto Oficial [PO] – ANTICIPO) 
El proponente debe acreditar una capacidad residual igual o superior a la Capacidad Residual establecida para el proceso de contratación. 
El proponente debe presentar la siguiente información para acreditar su capacidad residual: 
• La lista de los contratos en ejecución, así como el valor y plazo de tales contratos. • La lista de los contratos en ejecución, suscritos por sociedades, consorcios o uniones temporales, en los cuales el proponente tenga participación, así como el valor y el plazo de tales contratos. • El estado de resultados que contiene el mejor ingreso operacional de los últimos cinco (5) años. 
Para acreditar el factor de experiencia (E), el proponente debe diligenciar el formato correspondiente al Anexo 1 (publicado en la guía de Colombia compra eficiente), el cual contiene los contratos inscritos en el segmento 72 y su valor total en pesos colombianos liquidados con el SMMLV. 
Para acreditar la capacidad técnica (CT) el proponente debe diligenciar el Formato correspondiente al Anexo 2 (publicado en la guía de Colombia compra eficiente).  
La Capacidad Residual de un proponente plural debe ser la suma de la Capacidad Residual de cada uno de sus integrantes. </t>
  </si>
  <si>
    <t>PUNTAJE TOTAL</t>
  </si>
  <si>
    <t>NO HAY PARTICIPACION</t>
  </si>
  <si>
    <r>
      <t xml:space="preserve">CODIGOS UNSPSC:
</t>
    </r>
    <r>
      <rPr>
        <b/>
        <sz val="10"/>
        <color rgb="FFFF0000"/>
        <rFont val="Calibri"/>
        <family val="2"/>
        <scheme val="minor"/>
      </rPr>
      <t>721411 - 721413</t>
    </r>
    <r>
      <rPr>
        <sz val="10"/>
        <color rgb="FFFF0000"/>
        <rFont val="Calibri"/>
        <family val="2"/>
        <scheme val="minor"/>
      </rPr>
      <t xml:space="preserve"> - 721015 - 721029 - 721214 - 721531 - 951223 - 951116 - 811015</t>
    </r>
  </si>
  <si>
    <r>
      <t xml:space="preserve">CODIGOS UNSPSC:
</t>
    </r>
    <r>
      <rPr>
        <b/>
        <sz val="10"/>
        <color rgb="FFFF0000"/>
        <rFont val="Calibri"/>
        <family val="2"/>
        <scheme val="minor"/>
      </rPr>
      <t>721411 - 721413</t>
    </r>
    <r>
      <rPr>
        <sz val="10"/>
        <color rgb="FFFF0000"/>
        <rFont val="Calibri"/>
        <family val="2"/>
        <scheme val="minor"/>
      </rPr>
      <t xml:space="preserve"> - 721015 - 721029 - 721214 - 721531 - 951223 - 811015</t>
    </r>
  </si>
  <si>
    <r>
      <t xml:space="preserve">CODIGOS UNSPSC:
</t>
    </r>
    <r>
      <rPr>
        <b/>
        <sz val="10"/>
        <color rgb="FFFF0000"/>
        <rFont val="Calibri"/>
        <family val="2"/>
        <scheme val="minor"/>
      </rPr>
      <t>721411 - 721413</t>
    </r>
    <r>
      <rPr>
        <sz val="10"/>
        <color rgb="FFFF0000"/>
        <rFont val="Calibri"/>
        <family val="2"/>
        <scheme val="minor"/>
      </rPr>
      <t xml:space="preserve"> - 721015 - 721214 - 721531 - 951223 - 811015</t>
    </r>
  </si>
  <si>
    <r>
      <t xml:space="preserve">CODIGOS UNSPSC:
</t>
    </r>
    <r>
      <rPr>
        <b/>
        <sz val="10"/>
        <color rgb="FFFF0000"/>
        <rFont val="Calibri"/>
        <family val="2"/>
        <scheme val="minor"/>
      </rPr>
      <t>721411</t>
    </r>
    <r>
      <rPr>
        <sz val="10"/>
        <color rgb="FFFF0000"/>
        <rFont val="Calibri"/>
        <family val="2"/>
        <scheme val="minor"/>
      </rPr>
      <t xml:space="preserve"> - 721015 - 721029 - 951116 - 811015</t>
    </r>
  </si>
  <si>
    <r>
      <t xml:space="preserve">CODIGOS UNSPSC:
</t>
    </r>
    <r>
      <rPr>
        <b/>
        <sz val="10"/>
        <color rgb="FFFF0000"/>
        <rFont val="Calibri"/>
        <family val="2"/>
        <scheme val="minor"/>
      </rPr>
      <t>721413</t>
    </r>
    <r>
      <rPr>
        <sz val="10"/>
        <color rgb="FFFF0000"/>
        <rFont val="Calibri"/>
        <family val="2"/>
        <scheme val="minor"/>
      </rPr>
      <t xml:space="preserve"> - 721015 - 721029 - 721214 - 721531 - 951223 - 811015</t>
    </r>
  </si>
  <si>
    <r>
      <t xml:space="preserve">CONTRATO No. 1
</t>
    </r>
    <r>
      <rPr>
        <b/>
        <sz val="10"/>
        <rFont val="Arial Narrow"/>
        <family val="2"/>
      </rPr>
      <t>721411 - 721413</t>
    </r>
    <r>
      <rPr>
        <sz val="10"/>
        <rFont val="Arial Narrow"/>
        <family val="2"/>
      </rPr>
      <t xml:space="preserve"> - 721015 - 721029 - 721214 - 721531 - 951223 - 811015
CONTRATO No. 2
</t>
    </r>
    <r>
      <rPr>
        <b/>
        <sz val="10"/>
        <rFont val="Arial Narrow"/>
        <family val="2"/>
      </rPr>
      <t>721411 - 721413</t>
    </r>
    <r>
      <rPr>
        <sz val="10"/>
        <rFont val="Arial Narrow"/>
        <family val="2"/>
      </rPr>
      <t xml:space="preserve"> - 721015 - 721214 - 721531 - 951223 - 811015
CONTRATO No. 3
</t>
    </r>
    <r>
      <rPr>
        <b/>
        <sz val="10"/>
        <rFont val="Arial Narrow"/>
        <family val="2"/>
      </rPr>
      <t>721411</t>
    </r>
    <r>
      <rPr>
        <sz val="10"/>
        <rFont val="Arial Narrow"/>
        <family val="2"/>
      </rPr>
      <t xml:space="preserve"> - 721015 - 721029 - 951116 - 811015
CONTRATO No. 4
</t>
    </r>
    <r>
      <rPr>
        <b/>
        <sz val="10"/>
        <rFont val="Arial Narrow"/>
        <family val="2"/>
      </rPr>
      <t>721413</t>
    </r>
    <r>
      <rPr>
        <sz val="10"/>
        <rFont val="Arial Narrow"/>
        <family val="2"/>
      </rPr>
      <t xml:space="preserve"> - 721015 - 721029 - 721214 - 721531 - 951223 - 811015
CONTRATO No. 5
</t>
    </r>
    <r>
      <rPr>
        <b/>
        <sz val="10"/>
        <rFont val="Arial Narrow"/>
        <family val="2"/>
      </rPr>
      <t>721411 - 721413</t>
    </r>
    <r>
      <rPr>
        <sz val="10"/>
        <rFont val="Arial Narrow"/>
        <family val="2"/>
      </rPr>
      <t xml:space="preserve"> - 721015 - 721029 - 721214 - 721531 - 951223 - 811015</t>
    </r>
  </si>
  <si>
    <t>APORTA ANEXO G EXPERIENCIA ESPECIFICA EN PDF DEBIDAMENTE SUSCRITA Y EN FORMATO EXCEL</t>
  </si>
  <si>
    <t>FECHA DE SUSPENSIÓN</t>
  </si>
  <si>
    <r>
      <t xml:space="preserve">Cada contrato que el proponente aporte como experiencia específica debe estar registrado en el RUP y debe encontrarse inscrito en mínimo tres códigos UNSPSC exigidos en el numeral 2.1 literal (d) del presente pliego de condiciones y uno de ellos obligatoriamente deberá ser el código 721413 o 721411. El RUP deberá estar vigente y en firme, de lo contrario el proponente quedará INHABILITADO.
CODIGOS UNSPSC: </t>
    </r>
    <r>
      <rPr>
        <b/>
        <sz val="10"/>
        <rFont val="Arial Narrow"/>
        <family val="2"/>
      </rPr>
      <t>721411 - 721413</t>
    </r>
    <r>
      <rPr>
        <sz val="10"/>
        <rFont val="Arial Narrow"/>
        <family val="2"/>
      </rPr>
      <t xml:space="preserve"> - 721015 - 721029 - 721214 - 721531 - 951223 - 951116 - 811015</t>
    </r>
  </si>
  <si>
    <t>DIRECTOR</t>
  </si>
  <si>
    <t>RESIDENTE</t>
  </si>
  <si>
    <t>DIRECTOR DE OBRA
EXPERIENCIA ESPECIFICA MINIMA
10% VTE EN 3 CONTRATOS</t>
  </si>
  <si>
    <t>DIRECTOR DE OBRA</t>
  </si>
  <si>
    <t>RESIDENTE DE OBRA
EXPERIENCIA ESPECIFICA MINIMA
15% VTE EN 3 CONTRATOS</t>
  </si>
  <si>
    <t>RESIDENTE DE OBRA</t>
  </si>
  <si>
    <t>INGENIERA CIVIL
FECHA EXP. M.P. 1983</t>
  </si>
  <si>
    <t>VTE REQUERIDO = 10% PO
VTE = $706.791.224</t>
  </si>
  <si>
    <t>VTE REQUERIDO = 15% PO
VTE = $ 1.060.186.836</t>
  </si>
  <si>
    <t>ARQUIETCTO
FECHA EXP. M.P. 2006</t>
  </si>
  <si>
    <t>TARJETA PROFESIONAL
VIGENCIA M.P. COPNIA EXP. 26-JUN-2020
CARTA DE INTENCIÓN
DISPONIBILIDAD 100%</t>
  </si>
  <si>
    <t>TARJETA PROFESIONAL
VIGENCIA M.P. EXP. 23-ABR-2020
CARTA DE INTENCIÓN
DISPONIBILIDAD 100%</t>
  </si>
  <si>
    <t>NO OK</t>
  </si>
  <si>
    <t>SOPORTES INCOHERENTES</t>
  </si>
  <si>
    <t>MAESTRO DE OBRA
FECHA EXP. M.P. 2003</t>
  </si>
  <si>
    <t>TARJETA PROFESIONAL
VIGENCIA M.P. COPNIA EXP. 30-JUN-2020
CARTA DE INTENCIÓN
DISPONIBILIDAD 100%</t>
  </si>
  <si>
    <t>CONTRATO No. 1
6 MESES
CONTRATO No. 2
9 MESES Y 25 DIAS
CONTRATO No. 3
10 MESES</t>
  </si>
  <si>
    <t>CARTA DE INTENCIÓN
DISPONIBILIDAD 100%</t>
  </si>
  <si>
    <t>PROFESIONAL EN SALUD OCUPACIONAL
APORTA RESOLUCION DE LICENCIA
FECHA EXP. RES. 2013</t>
  </si>
  <si>
    <r>
      <t xml:space="preserve">Las certificaciones de la experiencia específica </t>
    </r>
    <r>
      <rPr>
        <b/>
        <u/>
        <sz val="10"/>
        <rFont val="Arial Narrow"/>
        <family val="2"/>
      </rPr>
      <t>como director o residente de obra</t>
    </r>
    <r>
      <rPr>
        <sz val="10"/>
        <rFont val="Arial Narrow"/>
        <family val="2"/>
      </rPr>
      <t xml:space="preserve">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</si>
  <si>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r>
      <rPr>
        <b/>
        <sz val="9"/>
        <rFont val="Arial Narrow"/>
        <family val="2"/>
      </rPr>
      <t>DIRECTOR DE OBRA</t>
    </r>
    <r>
      <rPr>
        <sz val="9"/>
        <rFont val="Arial Narrow"/>
        <family val="2"/>
      </rPr>
      <t xml:space="preserve">
CONTRATO No. 1 ADICIONAL
VTE = $ 782.470.826
CONTRATO No. 2 ADICIONAL
VTE = $ 2.459.664.318
</t>
    </r>
    <r>
      <rPr>
        <b/>
        <sz val="9"/>
        <rFont val="Arial Narrow"/>
        <family val="2"/>
      </rPr>
      <t>RESIDENTE DE OBRA</t>
    </r>
    <r>
      <rPr>
        <sz val="9"/>
        <rFont val="Arial Narrow"/>
        <family val="2"/>
      </rPr>
      <t xml:space="preserve">
CONTRATO No. 1 ADICIONAL
VTE = $ 2.459.664.318
CONTRATO No. 2 ADICIONAL
VTE = $ 782.470.826</t>
    </r>
  </si>
  <si>
    <r>
      <rPr>
        <b/>
        <sz val="9"/>
        <rFont val="Arial Narrow"/>
        <family val="2"/>
      </rPr>
      <t>DIRECTOR DE OBRA</t>
    </r>
    <r>
      <rPr>
        <sz val="9"/>
        <rFont val="Arial Narrow"/>
        <family val="2"/>
      </rPr>
      <t xml:space="preserve">
CONTRATO No. 1 ADICIONAL
9 MESES Y 19 DIAS
CONTRATO No. 2 ADICIONAL
7 MESES
</t>
    </r>
    <r>
      <rPr>
        <b/>
        <sz val="9"/>
        <rFont val="Arial Narrow"/>
        <family val="2"/>
      </rPr>
      <t>RESIDENTE DE OBRA</t>
    </r>
    <r>
      <rPr>
        <sz val="9"/>
        <rFont val="Arial Narrow"/>
        <family val="2"/>
      </rPr>
      <t xml:space="preserve">
CONTRATO No. 1 ADICIONAL
7 MESES
CONTRATO No. 2 ADICIONAL
9 MESES Y 19 DIAS</t>
    </r>
  </si>
  <si>
    <t>ING. CIVIL
FECHA EXP. M.P. 1999</t>
  </si>
  <si>
    <t>TARJETA PROFESIONAL
VIGENCIA M.P. COPNIA EXP. 30-JUN-2020
ESPECIALISTA EN ESTRUCTURAS EXP. DIC-2007
CARTA DE INTENCIÓN
DISPONIBILIDAD 20%</t>
  </si>
  <si>
    <r>
      <t>CONTRATO No. 1
1 MES Y 11 DÍAS</t>
    </r>
    <r>
      <rPr>
        <sz val="10"/>
        <color rgb="FFFF0000"/>
        <rFont val="Arial Narrow"/>
        <family val="2"/>
      </rPr>
      <t xml:space="preserve"> (20-NOV-2017 AL 31-DIC-2017)</t>
    </r>
    <r>
      <rPr>
        <sz val="10"/>
        <rFont val="Arial Narrow"/>
        <family val="2"/>
      </rPr>
      <t xml:space="preserve">
CONTRATO No. 2
4 MESES Y 12 DIAS
CONTRATO No. 3
5 MESES</t>
    </r>
  </si>
  <si>
    <t>ING. CIVIL
FECHA EXP. M.P. 2006</t>
  </si>
  <si>
    <t>TARJETA PROFESIONAL
VIGENCIA M.P. COPNIA EXP. 30-JUN-2020
ESPECIALISTA EN PAVIMENTOS EXP. JUN-2009
CARTA DE INTENCIÓN
DISPONIBILIDAD 20%</t>
  </si>
  <si>
    <t>CONTRATO No. 1
5 MESES Y 10 DÍAS
(01-DIC-2017 AL 03-MAR-2018) Y (24-ABR-2018 AL 01-JUL-2018)
CONTRATO No. 2
3 MESES Y 12 DIAS
CONTRATO No. 3
7 MESES</t>
  </si>
  <si>
    <r>
      <t xml:space="preserve">CONTRATO No. 1
</t>
    </r>
    <r>
      <rPr>
        <sz val="10"/>
        <color rgb="FFFF0000"/>
        <rFont val="Arial Narrow"/>
        <family val="2"/>
      </rPr>
      <t>NO APORTA CERTIFICACIÓN EXPEDIDA POR CONTRATISTA DE OBRA</t>
    </r>
    <r>
      <rPr>
        <sz val="10"/>
        <rFont val="Arial Narrow"/>
        <family val="2"/>
      </rPr>
      <t xml:space="preserve">
APORTA CONTRATO DE OPS COMO ASESOR ESTRUCTURAL
APORTA ACTA DE RECIBO FINAL DE OBRA DE CONSTRUCCION Y MEJORAMIENTO DE ESCENARIOS DEPORTIVOS, SUSCRITA POR ENTIDAD PUBLICA
</t>
    </r>
    <r>
      <rPr>
        <sz val="10"/>
        <color rgb="FFFF0000"/>
        <rFont val="Arial Narrow"/>
        <family val="2"/>
      </rPr>
      <t>NO SON COHERENTES LOS PLAZOS DE EJECUCIÓN DEL CONTRATO DE OPS Y EL CONTRATO DE OBRA,</t>
    </r>
    <r>
      <rPr>
        <sz val="10"/>
        <rFont val="Arial Narrow"/>
        <family val="2"/>
      </rPr>
      <t xml:space="preserve">
CONTRATO No. 2
</t>
    </r>
    <r>
      <rPr>
        <sz val="10"/>
        <color rgb="FFFF0000"/>
        <rFont val="Arial Narrow"/>
        <family val="2"/>
      </rPr>
      <t>NO APORTA CERTIFICACIÓN EXPEDIDA POR CONTRATISTA DE OBRA</t>
    </r>
    <r>
      <rPr>
        <sz val="10"/>
        <rFont val="Arial Narrow"/>
        <family val="2"/>
      </rPr>
      <t xml:space="preserve">
APORTA CONTRATO DE OPS COMO ASESOR ESTRUCTURAL
APORTA ACTA DE RECIBO FINAL DE CONSTRUCCIÓN DE ESCENARIOS DEPORTIVOS, SUSCRITA POR INTERVENTOR
CONTRATO No. 3
</t>
    </r>
    <r>
      <rPr>
        <sz val="10"/>
        <color rgb="FFFF0000"/>
        <rFont val="Arial Narrow"/>
        <family val="2"/>
      </rPr>
      <t>NO APORTA CERTIFICACIÓN EXPEDIDA POR CONTRATISTA DE OBRA</t>
    </r>
    <r>
      <rPr>
        <sz val="10"/>
        <rFont val="Arial Narrow"/>
        <family val="2"/>
      </rPr>
      <t xml:space="preserve">
APORTA CONTRATO DE OPS COMO ASESOR ESTRUCTURAL
APORTA ACTA DE RECIBO FINAL DE OBRA DE CONSTRUCCION DE ESCENARIOS DEPORTIVOS, SUSCRITA POR ENTIDAD PUBLICA</t>
    </r>
  </si>
  <si>
    <t>ING. ELECTRICISTA
FECHA EXP. M.P. 1998</t>
  </si>
  <si>
    <t>TARJETA PROFESIONAL
VIGENCIA M.P. CONSEJO PROFESIONAL NACIONAL DE INGENIERAS ELECTRICA, MECANICA Y PREOFESIONES AFINES  EXP. 30-JUN-2020
CARTA DE INTENCIÓN
DISPONIBILIDAD 20%</t>
  </si>
  <si>
    <r>
      <t xml:space="preserve">CONTRATO No. 1
</t>
    </r>
    <r>
      <rPr>
        <sz val="10"/>
        <color rgb="FFFF0000"/>
        <rFont val="Arial Narrow"/>
        <family val="2"/>
      </rPr>
      <t>NO APORTA CERTIFICACIÓN EXPEDIDA POR CONTRATISTA DE OBRA</t>
    </r>
    <r>
      <rPr>
        <sz val="10"/>
        <rFont val="Arial Narrow"/>
        <family val="2"/>
      </rPr>
      <t xml:space="preserve">
APORTA CONTRATO DE OPS COMO ASESOR ESPECIALIZADO
APORTA ACTA DE LIQUIDACION DE OBRA DE CONSTRUCCION DE PAVIMENTO RIGIDO, SUSCRITA POR ENTIDAD PUBLICA
CONTRATO No. 2
</t>
    </r>
    <r>
      <rPr>
        <sz val="10"/>
        <color rgb="FFFF0000"/>
        <rFont val="Arial Narrow"/>
        <family val="2"/>
      </rPr>
      <t>NO APORTA CERTIFICACIÓN EXPEDIDA POR CONTRATISTA DE OBRA</t>
    </r>
    <r>
      <rPr>
        <sz val="10"/>
        <rFont val="Arial Narrow"/>
        <family val="2"/>
      </rPr>
      <t xml:space="preserve">
APORTA CONTRATO DE OPS COMO ASESOR ESPECIALIZADO
APORTA ACTA DE LIQUIDACIÓN Y ACTA DE RECIBO FINAL DE CONSTRUCCIÓN DE PAVIMENTOS RIGIDOS, SUSCRITA POR ENTIDAD PUBLICA
CONTRATO No. 3
</t>
    </r>
    <r>
      <rPr>
        <sz val="10"/>
        <color rgb="FFFF0000"/>
        <rFont val="Arial Narrow"/>
        <family val="2"/>
      </rPr>
      <t>NO APORTA CERTIFICACIÓN EXPEDIDA POR CONTRATISTA DE OBRA</t>
    </r>
    <r>
      <rPr>
        <sz val="10"/>
        <rFont val="Arial Narrow"/>
        <family val="2"/>
      </rPr>
      <t xml:space="preserve">
APORTA CONTRATO DE OPS COMO ASESOR ESPECIALIZADO
APORTA ACTA DE FINALIZACIÓN DE OBRA DE CONSTRUCCION DE PAVIMENTO RIGIDO, SUSCRITA POR ENTIDAD PUBLICA </t>
    </r>
    <r>
      <rPr>
        <sz val="10"/>
        <color rgb="FFFF0000"/>
        <rFont val="Arial Narrow"/>
        <family val="2"/>
      </rPr>
      <t>(ACTA NO VALIDA POR PENDIENTES)</t>
    </r>
  </si>
  <si>
    <r>
      <t xml:space="preserve">Las certificaciones de la experiencia específica </t>
    </r>
    <r>
      <rPr>
        <b/>
        <u/>
        <sz val="10"/>
        <rFont val="Arial Narrow"/>
        <family val="2"/>
      </rPr>
      <t>como asesor en pavimentos</t>
    </r>
    <r>
      <rPr>
        <sz val="10"/>
        <rFont val="Arial Narrow"/>
        <family val="2"/>
      </rPr>
      <t xml:space="preserve">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</si>
  <si>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t>CONTRATO No. 1
4 MESES 
CONTRATO No. 2
3,5 MESES
CONTRATO No. 3
4 MESES</t>
  </si>
  <si>
    <t>APORTA ANEXO G EXPERIENCIA ESPECIFICA EN PDF DEBIDAMENTE SUSCRITA</t>
  </si>
  <si>
    <r>
      <t xml:space="preserve">CODIGOS UNSPSC:
</t>
    </r>
    <r>
      <rPr>
        <b/>
        <sz val="10"/>
        <color rgb="FFFF0000"/>
        <rFont val="Calibri"/>
        <family val="2"/>
        <scheme val="minor"/>
      </rPr>
      <t>721411 - 721413</t>
    </r>
    <r>
      <rPr>
        <sz val="10"/>
        <color rgb="FFFF0000"/>
        <rFont val="Calibri"/>
        <family val="2"/>
        <scheme val="minor"/>
      </rPr>
      <t xml:space="preserve"> - 721015 - 721029 - 721531 - 951223 - 811015</t>
    </r>
  </si>
  <si>
    <r>
      <t xml:space="preserve">CODIGOS UNSPSC:
</t>
    </r>
    <r>
      <rPr>
        <b/>
        <sz val="10"/>
        <color rgb="FFFF0000"/>
        <rFont val="Calibri"/>
        <family val="2"/>
        <scheme val="minor"/>
      </rPr>
      <t>721413</t>
    </r>
    <r>
      <rPr>
        <sz val="10"/>
        <color rgb="FFFF0000"/>
        <rFont val="Calibri"/>
        <family val="2"/>
        <scheme val="minor"/>
      </rPr>
      <t xml:space="preserve"> - 721015 - 721029 - 721531 - 951116 - 811015</t>
    </r>
  </si>
  <si>
    <r>
      <t xml:space="preserve">CODIGOS UNSPSC:
</t>
    </r>
    <r>
      <rPr>
        <b/>
        <sz val="10"/>
        <color rgb="FFFF0000"/>
        <rFont val="Calibri"/>
        <family val="2"/>
        <scheme val="minor"/>
      </rPr>
      <t>721413</t>
    </r>
    <r>
      <rPr>
        <sz val="10"/>
        <color rgb="FFFF0000"/>
        <rFont val="Calibri"/>
        <family val="2"/>
        <scheme val="minor"/>
      </rPr>
      <t xml:space="preserve"> - 721015 - 721029 - 721214 - 951223 - 811015</t>
    </r>
  </si>
  <si>
    <r>
      <t xml:space="preserve">CODIGOS UNSPSC:
</t>
    </r>
    <r>
      <rPr>
        <b/>
        <sz val="10"/>
        <color rgb="FFFF0000"/>
        <rFont val="Calibri"/>
        <family val="2"/>
        <scheme val="minor"/>
      </rPr>
      <t>721411 - 721413</t>
    </r>
    <r>
      <rPr>
        <sz val="10"/>
        <color rgb="FFFF0000"/>
        <rFont val="Calibri"/>
        <family val="2"/>
        <scheme val="minor"/>
      </rPr>
      <t xml:space="preserve"> - 721015 - 721214 - 721531 - 951223 - 951116 - 811015</t>
    </r>
  </si>
  <si>
    <r>
      <t xml:space="preserve">CODIGOS UNSPSC:
</t>
    </r>
    <r>
      <rPr>
        <b/>
        <sz val="10"/>
        <color rgb="FFFF0000"/>
        <rFont val="Calibri"/>
        <family val="2"/>
        <scheme val="minor"/>
      </rPr>
      <t>721413</t>
    </r>
    <r>
      <rPr>
        <sz val="10"/>
        <color rgb="FFFF0000"/>
        <rFont val="Calibri"/>
        <family val="2"/>
        <scheme val="minor"/>
      </rPr>
      <t xml:space="preserve"> - 721015 - 721531</t>
    </r>
  </si>
  <si>
    <r>
      <t xml:space="preserve">CONTRATO No. 1
</t>
    </r>
    <r>
      <rPr>
        <b/>
        <sz val="10"/>
        <rFont val="Arial Narrow"/>
        <family val="2"/>
      </rPr>
      <t>721411 - 721413</t>
    </r>
    <r>
      <rPr>
        <sz val="10"/>
        <rFont val="Arial Narrow"/>
        <family val="2"/>
      </rPr>
      <t xml:space="preserve"> - 721015 - 721029 - 721214 - 721531 - 951223 - 951116 - 811015
CONTRATO No. 2
</t>
    </r>
    <r>
      <rPr>
        <b/>
        <sz val="10"/>
        <rFont val="Arial Narrow"/>
        <family val="2"/>
      </rPr>
      <t>721411 - 721413</t>
    </r>
    <r>
      <rPr>
        <sz val="10"/>
        <rFont val="Arial Narrow"/>
        <family val="2"/>
      </rPr>
      <t xml:space="preserve"> - 721015 - 721029 - 721531 - 951223 - 811015
CONTRATO No. 3
</t>
    </r>
    <r>
      <rPr>
        <b/>
        <sz val="10"/>
        <rFont val="Arial Narrow"/>
        <family val="2"/>
      </rPr>
      <t>721413</t>
    </r>
    <r>
      <rPr>
        <sz val="10"/>
        <rFont val="Arial Narrow"/>
        <family val="2"/>
      </rPr>
      <t xml:space="preserve"> - 721015 - 721029 - 721531 - 951116 - 811015
CONTRATO No. 4
</t>
    </r>
    <r>
      <rPr>
        <b/>
        <sz val="10"/>
        <rFont val="Arial Narrow"/>
        <family val="2"/>
      </rPr>
      <t>721413</t>
    </r>
    <r>
      <rPr>
        <sz val="10"/>
        <rFont val="Arial Narrow"/>
        <family val="2"/>
      </rPr>
      <t xml:space="preserve"> - 721015 - 721029 - 721214 - 951223 - 811015
CONTRATO No. 5
</t>
    </r>
    <r>
      <rPr>
        <b/>
        <sz val="10"/>
        <rFont val="Arial Narrow"/>
        <family val="2"/>
      </rPr>
      <t>721411 - 721413</t>
    </r>
    <r>
      <rPr>
        <sz val="10"/>
        <rFont val="Arial Narrow"/>
        <family val="2"/>
      </rPr>
      <t xml:space="preserve"> - 721015 - 721214 - 721531 - 951223 - 951116 - 811015
CONTRATO No. 6
</t>
    </r>
    <r>
      <rPr>
        <b/>
        <sz val="10"/>
        <rFont val="Arial Narrow"/>
        <family val="2"/>
      </rPr>
      <t>721413</t>
    </r>
    <r>
      <rPr>
        <sz val="10"/>
        <rFont val="Arial Narrow"/>
        <family val="2"/>
      </rPr>
      <t xml:space="preserve"> - 721015 - 721531</t>
    </r>
  </si>
  <si>
    <t>INHABILITADO TECNICAMENTE</t>
  </si>
  <si>
    <t>MC CONSTRUCCION SAS</t>
  </si>
  <si>
    <t>EL REP. LEGAL DEL CONSORCIO ES EL REP. LEGAL DEL INTEGRANTE MC CONSTRUCCIONES Y CONSULTORIAS SAS DE PROFESION ARQUITECTO. APORTA TARJETA PROFESIONAL Y VIGENCIA.</t>
  </si>
  <si>
    <t>NO TIENE CONTRATOS DE EJECUCIÓN</t>
  </si>
  <si>
    <r>
      <t xml:space="preserve">K RESIDUAL:
</t>
    </r>
    <r>
      <rPr>
        <sz val="10"/>
        <color rgb="FFFF0000"/>
        <rFont val="Arial Narrow"/>
        <family val="2"/>
      </rPr>
      <t xml:space="preserve">
INHABILITADO TECNICAMENTE</t>
    </r>
  </si>
  <si>
    <r>
      <t xml:space="preserve">CODIGOS UNSPSC:
</t>
    </r>
    <r>
      <rPr>
        <b/>
        <sz val="10"/>
        <color rgb="FFFF0000"/>
        <rFont val="Calibri"/>
        <family val="2"/>
        <scheme val="minor"/>
      </rPr>
      <t>721411 - 721413</t>
    </r>
    <r>
      <rPr>
        <sz val="10"/>
        <color rgb="FFFF0000"/>
        <rFont val="Calibri"/>
        <family val="2"/>
        <scheme val="minor"/>
      </rPr>
      <t xml:space="preserve"> - 721214 - 721531 - 951223 - 811015</t>
    </r>
  </si>
  <si>
    <r>
      <t xml:space="preserve">CODIGOS UNSPSC:
</t>
    </r>
    <r>
      <rPr>
        <b/>
        <sz val="10"/>
        <color rgb="FFFF0000"/>
        <rFont val="Calibri"/>
        <family val="2"/>
        <scheme val="minor"/>
      </rPr>
      <t>721411</t>
    </r>
    <r>
      <rPr>
        <sz val="10"/>
        <color rgb="FFFF0000"/>
        <rFont val="Calibri"/>
        <family val="2"/>
        <scheme val="minor"/>
      </rPr>
      <t xml:space="preserve"> - 721015 - 721029 - 811015</t>
    </r>
  </si>
  <si>
    <r>
      <t xml:space="preserve">CODIGOS UNSPSC:
</t>
    </r>
    <r>
      <rPr>
        <b/>
        <sz val="10"/>
        <color rgb="FFFF0000"/>
        <rFont val="Calibri"/>
        <family val="2"/>
        <scheme val="minor"/>
      </rPr>
      <t>721413</t>
    </r>
    <r>
      <rPr>
        <sz val="10"/>
        <color rgb="FFFF0000"/>
        <rFont val="Calibri"/>
        <family val="2"/>
        <scheme val="minor"/>
      </rPr>
      <t xml:space="preserve"> - 721015 - 721029 - 721214 - 721531 - 811015</t>
    </r>
  </si>
  <si>
    <t>CONTRATO 7</t>
  </si>
  <si>
    <r>
      <t xml:space="preserve">CODIGOS UNSPSC:
</t>
    </r>
    <r>
      <rPr>
        <b/>
        <sz val="10"/>
        <color rgb="FFFF0000"/>
        <rFont val="Calibri"/>
        <family val="2"/>
        <scheme val="minor"/>
      </rPr>
      <t>721411</t>
    </r>
    <r>
      <rPr>
        <sz val="10"/>
        <color rgb="FFFF0000"/>
        <rFont val="Calibri"/>
        <family val="2"/>
        <scheme val="minor"/>
      </rPr>
      <t xml:space="preserve"> - 721015 - 721029 - 721214 - 951223 - 811015</t>
    </r>
  </si>
  <si>
    <r>
      <t xml:space="preserve">CODIGOS UNSPSC:
</t>
    </r>
    <r>
      <rPr>
        <b/>
        <sz val="10"/>
        <rFont val="Calibri"/>
        <family val="2"/>
        <scheme val="minor"/>
      </rPr>
      <t>721411 - 721413</t>
    </r>
    <r>
      <rPr>
        <sz val="10"/>
        <rFont val="Calibri"/>
        <family val="2"/>
        <scheme val="minor"/>
      </rPr>
      <t xml:space="preserve"> - 721015 - 721029 - 721214 - 721531 - 951223 - 951116 - 811015</t>
    </r>
  </si>
  <si>
    <t>CONTRATO 8</t>
  </si>
  <si>
    <r>
      <t xml:space="preserve">CODIGOS UNSPSC
</t>
    </r>
    <r>
      <rPr>
        <b/>
        <sz val="10"/>
        <color rgb="FFFF0000"/>
        <rFont val="Calibri"/>
        <family val="2"/>
        <scheme val="minor"/>
      </rPr>
      <t>721413</t>
    </r>
    <r>
      <rPr>
        <sz val="10"/>
        <color rgb="FFFF0000"/>
        <rFont val="Calibri"/>
        <family val="2"/>
        <scheme val="minor"/>
      </rPr>
      <t xml:space="preserve"> - 721015 - 721029 - 721214 - 721531 - 951223 - 811015</t>
    </r>
  </si>
  <si>
    <t>ESCENARIOS DEPORTIVOS</t>
  </si>
  <si>
    <t>CONTRATO 9</t>
  </si>
  <si>
    <t>CONSTR. PATINODROMO</t>
  </si>
  <si>
    <r>
      <t xml:space="preserve">CODIGOS UNSPSC
</t>
    </r>
    <r>
      <rPr>
        <b/>
        <sz val="10"/>
        <color rgb="FFFF0000"/>
        <rFont val="Calibri"/>
        <family val="2"/>
        <scheme val="minor"/>
      </rPr>
      <t>721411 - 721413</t>
    </r>
    <r>
      <rPr>
        <sz val="10"/>
        <color rgb="FFFF0000"/>
        <rFont val="Calibri"/>
        <family val="2"/>
        <scheme val="minor"/>
      </rPr>
      <t xml:space="preserve"> - 721015 - 721029 - 721214 - 721531 - 951223 - 811015</t>
    </r>
  </si>
  <si>
    <r>
      <t xml:space="preserve">CONTRATO No. 1
</t>
    </r>
    <r>
      <rPr>
        <b/>
        <sz val="10"/>
        <rFont val="Arial Narrow"/>
        <family val="2"/>
      </rPr>
      <t>721411 - 721413</t>
    </r>
    <r>
      <rPr>
        <sz val="10"/>
        <rFont val="Arial Narrow"/>
        <family val="2"/>
      </rPr>
      <t xml:space="preserve"> - 721214 - 721531 - 951223 - 811015
CONTRATO No. 2
</t>
    </r>
    <r>
      <rPr>
        <b/>
        <sz val="10"/>
        <rFont val="Arial Narrow"/>
        <family val="2"/>
      </rPr>
      <t xml:space="preserve">721413 </t>
    </r>
    <r>
      <rPr>
        <sz val="10"/>
        <rFont val="Arial Narrow"/>
        <family val="2"/>
      </rPr>
      <t xml:space="preserve">- 721015 - 721029 - 721214 - 721531 - 811015
CONTRATO No. 3
</t>
    </r>
    <r>
      <rPr>
        <b/>
        <sz val="10"/>
        <rFont val="Arial Narrow"/>
        <family val="2"/>
      </rPr>
      <t>721411</t>
    </r>
    <r>
      <rPr>
        <sz val="10"/>
        <rFont val="Arial Narrow"/>
        <family val="2"/>
      </rPr>
      <t xml:space="preserve"> - 721015 - 721029 - 811015
CONTRATO No. 4
</t>
    </r>
    <r>
      <rPr>
        <b/>
        <sz val="10"/>
        <rFont val="Arial Narrow"/>
        <family val="2"/>
      </rPr>
      <t>721411 - 721413</t>
    </r>
    <r>
      <rPr>
        <sz val="10"/>
        <rFont val="Arial Narrow"/>
        <family val="2"/>
      </rPr>
      <t xml:space="preserve"> - 721015 - 721214 - 721531 - 951223 - 811015</t>
    </r>
  </si>
  <si>
    <t>EL REP. LEGAL DEL CONSORCIO ES EL SUBGERENTE DEL INTEGRANTE ASESORIA CONSULTORIA Y GESTION COLOMBIA SAS DE PROFESION ARQUITECTO. APORTA TARJETA PROFESIONAL Y VIGENCIA. EL RUT DE LA PERSONA JURIDICA ACREDITA QUE EL SUBGERENTE ES EL REP. LEGAL SUPLENTE. ADEMAS EL RUP ACREDITA QUE EL REP. LEGAL SUPLENTE TIENE LAS MISMAS FACULTADES DEL REP. LEGAL</t>
  </si>
  <si>
    <t>INGENIRO CIVIL
FECHA EXP. M.P. 1986</t>
  </si>
  <si>
    <t>TARJETA PROFESIONAL
VIGENCIA M.P. COPNIA EXP. 30-JUN-2020
CARTA DE INTENCIÓN
DISPONIBILIDAD 50%</t>
  </si>
  <si>
    <t>CONTRATO No. 1
676 DIAS
CONTRATO No. 2
210 DIAS
CONTRATO No. 3
210 MESES</t>
  </si>
  <si>
    <t>INGENIERO CIVIL
FECHA EXP. M.P. 2006</t>
  </si>
  <si>
    <t>TARJETA PROFESIONAL
VIGENCIA M.P. EXP. 30-JUN-2020
CARTA DE INTENCIÓN
DISPONIBILIDAD 100%</t>
  </si>
  <si>
    <t>CONTRATO No. 1
676 DIAS
CONTRATO No. 2
172 DIAS
CONTRATO No. 3
210 MESES</t>
  </si>
  <si>
    <t>MAESTRO DE OBRA
FECHA EXP. M.P. 2004</t>
  </si>
  <si>
    <t>CONTRATO No. 1
172 DIAS
CONTRATO No. 2
210 DIAS
CONTRATO No. 3
290 MESES</t>
  </si>
  <si>
    <t>PROFESIONAL EN SALUD OCUPACIONAL
APORTA RESOLUCION DE LICENCIA
FECHA EXP. RES. 2014</t>
  </si>
  <si>
    <t>CONTRATO No. 1
172 DIAS
CONTRATO No. 2
90 DIAS
CONTRATO No. 3
210 MESES</t>
  </si>
  <si>
    <t>ING. CIVIL
FECHA EXP. M.P. 2000</t>
  </si>
  <si>
    <t>TARJETA PROFESIONAL
VIGENCIA M.P. COPNIA EXP. 30-JUN-2020
MAGISTER EN ESTRUCTURAS EXP. DIC-2000
CARTA DE INTENCIÓN
DISPONIBILIDAD 20%</t>
  </si>
  <si>
    <r>
      <t xml:space="preserve">CONTRATO No. 1
APORTA CERTIFICACION COMO ASESOR ESTRUCTURAL SUSCRITA POR ENTIDAD PÚBLICA DE CONSTRUCCION DE ESCENARIO DEPORTIVO, </t>
    </r>
    <r>
      <rPr>
        <sz val="10"/>
        <color rgb="FFFF0000"/>
        <rFont val="Arial Narrow"/>
        <family val="2"/>
      </rPr>
      <t>NO SE APORTA ACTA DE RECIBO FINAL O ACTA DE LIQUIDACIÓN DEL CONTRATO</t>
    </r>
    <r>
      <rPr>
        <sz val="10"/>
        <rFont val="Arial Narrow"/>
        <family val="2"/>
      </rPr>
      <t xml:space="preserve">
CONTRATO No. 2
APORTA CERTIFICACION COMO ASESOR ESTRUCTURAL SUSCRITA POR ENTIDAD PÚBLICA DE CONSTRUCCION Y ADECUACIÓN DE ESCENARIO DEPORTIVO, </t>
    </r>
    <r>
      <rPr>
        <sz val="10"/>
        <color rgb="FFFF0000"/>
        <rFont val="Arial Narrow"/>
        <family val="2"/>
      </rPr>
      <t>NO SE APORTA ACTA DE RECIBO FINAL O ACTA DE LIQUIDACIÓN DEL CONTRATO.</t>
    </r>
    <r>
      <rPr>
        <sz val="10"/>
        <rFont val="Arial Narrow"/>
        <family val="2"/>
      </rPr>
      <t xml:space="preserve">
CONTRATO No. 3
APORTA CERTIFICACION COMO ASESOR ESTRUCTURAL SUSCRITA POR ENTIDAD PÚBLICA DE REFORZAMIENTO Y SANEAMIENTO DE ESCENARIO DEPORTIVO, </t>
    </r>
    <r>
      <rPr>
        <sz val="10"/>
        <color rgb="FFFF0000"/>
        <rFont val="Arial Narrow"/>
        <family val="2"/>
      </rPr>
      <t>NO SE APORTA ACTA DE RECIBO FINAL O ACTA DE LIQUIDACIÓN DEL CONTRATO. CERTIFICACIÓN NO VALIDA DE CONFORMIDAD CON EL REQUISITO DE EXPERIENCIA ESPECIFICA SOLICITADO EN EL PLIEGO.</t>
    </r>
  </si>
  <si>
    <t>ING. CIVIL
FECHA EXP. M.P. 1993</t>
  </si>
  <si>
    <t>TARJETA PROFESIONAL
VIGENCIA M.P. COPNIA EXP. 30-JUN-2020
ESPECIALISTA EN PAVIMENTOS EXP. DIC-2002
CARTA DE INTENCIÓN
DISPONIBILIDAD 20%</t>
  </si>
  <si>
    <r>
      <t xml:space="preserve">CONTRATO No. 1
APORTA CERTIFICACION COMO ASESOR DE PAVIMENTOS SUSCRITA POR ENTIDAD PUBLICA DE PAVIMENTACION DE VIAS, </t>
    </r>
    <r>
      <rPr>
        <sz val="10"/>
        <color rgb="FFFF0000"/>
        <rFont val="Arial Narrow"/>
        <family val="2"/>
      </rPr>
      <t>NO SE APORTA ACTA DE RECIBO FINAL O ACTA DE LIQUIDACIÓN DEL CONTRATO</t>
    </r>
    <r>
      <rPr>
        <sz val="10"/>
        <rFont val="Arial Narrow"/>
        <family val="2"/>
      </rPr>
      <t xml:space="preserve">
CONTRATO No. 2
APORTA CERTIFICACION COMO ASESOR DE PAVIMENTOS SUSCRITA POR ENTIDAD PUBLICA DE PAVIMENTACION DE VIAS,</t>
    </r>
    <r>
      <rPr>
        <sz val="10"/>
        <color rgb="FFFF0000"/>
        <rFont val="Arial Narrow"/>
        <family val="2"/>
      </rPr>
      <t xml:space="preserve"> NO SE APORTA ACTA DE RECIBO FINAL O ACTA DE LIQUIDACIÓN DEL CONTRATO</t>
    </r>
    <r>
      <rPr>
        <sz val="10"/>
        <rFont val="Arial Narrow"/>
        <family val="2"/>
      </rPr>
      <t xml:space="preserve">
CONTRATO No. 3
APORTA CERTIFICACION COMO ASESOR DE PAVIMENTOS SUSCRITA POR ENTIDAD PUBLICA DE MANTENIMIENTO DE VIAS</t>
    </r>
    <r>
      <rPr>
        <sz val="10"/>
        <color rgb="FFFF0000"/>
        <rFont val="Arial Narrow"/>
        <family val="2"/>
      </rPr>
      <t>, NO SE APORTA ACTA DE RECIBO FINAL O ACTA DE LIQUIDACIÓN DEL CONTRATO</t>
    </r>
  </si>
  <si>
    <t>CONTRATO No. 1
6 MESES
CONTRATO No. 2
3 MESES
CONTRATO No. 3
10 MESES</t>
  </si>
  <si>
    <t>ING. ELECTRICISTA
FECHA EXP. M.P. 1977</t>
  </si>
  <si>
    <t>TARJETA PROFESIONAL
VIGENCIA M.P. CONSEJO PROFESIONAL NACIONAL DE INGENIERAS ELECTRICA, MECANICA Y PREOFESIONES AFINES  EXP. 12-MAY-2020
CARTA DE INTENCIÓN
DISPONIBILIDAD 20%</t>
  </si>
  <si>
    <r>
      <t xml:space="preserve">CONTRATO No. 1
APORTA CONTRATO DE OPS COMO ASESOR ELECTRICO
APORTA ACTA DE RECIBO FINAL DE OBRA DE CONSTRUCCION DE ESCENARIO DEPORTIVO, SUSCRITA POR ENTIDAD PUBLICA.
</t>
    </r>
    <r>
      <rPr>
        <sz val="10"/>
        <color rgb="FFFF0000"/>
        <rFont val="Arial Narrow"/>
        <family val="2"/>
      </rPr>
      <t>SOLO PUEDE CERTIFICAR ENTIDAD PUBLICA O ENTIDAD PRIVADA</t>
    </r>
    <r>
      <rPr>
        <sz val="10"/>
        <rFont val="Arial Narrow"/>
        <family val="2"/>
      </rPr>
      <t xml:space="preserve">
CONTRATO No. 2
APORTA CONTRATO DE OPS COMO ASESOR ELECTRICO
APORTA ACTA DE RECIBO FINAL DE OBRA DE ADECUACIÓN DE ESCENARIO DEPORTIVO, SUSCRITA POR ENTIDAD PUBLICA.
</t>
    </r>
    <r>
      <rPr>
        <sz val="10"/>
        <color rgb="FFFF0000"/>
        <rFont val="Arial Narrow"/>
        <family val="2"/>
      </rPr>
      <t>SOLO PUEDE CERTIFICAR ENTIDAD PUBLICA O ENTIDAD PRIVADA</t>
    </r>
    <r>
      <rPr>
        <sz val="10"/>
        <rFont val="Arial Narrow"/>
        <family val="2"/>
      </rPr>
      <t xml:space="preserve">
CONTRATO No. 3
APORTA CONTRATO DE OPS COMO ASESOR ELECTRICO
APORTA ACTA DE RECIBO FINAL DE OBRA DE CONSTRUCCION DE ESCENARIO DEPORTIVO, SUSCRITA POR ENTIDAD PUBLICA.
</t>
    </r>
    <r>
      <rPr>
        <sz val="10"/>
        <color rgb="FFFF0000"/>
        <rFont val="Arial Narrow"/>
        <family val="2"/>
      </rPr>
      <t>SOLO PUEDE CERTIFICAR ENTIDAD PUBLICA O ENTIDAD PRIVADA</t>
    </r>
  </si>
  <si>
    <r>
      <t xml:space="preserve">CONTRATO No. 1
APORTA CERTIFICACION COMO ASESOR ELECTRICO SUSCRITA POR ENTIDAD PÚBLICA DE CONSTRUCCION DE ESCENARIO DEPORTIVO, </t>
    </r>
    <r>
      <rPr>
        <sz val="10"/>
        <color rgb="FFFF0000"/>
        <rFont val="Arial Narrow"/>
        <family val="2"/>
      </rPr>
      <t>NO SE APORTA ACTA DE RECIBO FINAL O ACTA DE LIQUIDACIÓN DEL CONTRATO</t>
    </r>
    <r>
      <rPr>
        <sz val="10"/>
        <rFont val="Arial Narrow"/>
        <family val="2"/>
      </rPr>
      <t xml:space="preserve">
CONTRATO No. 2
APORTA CERTIFICACION COMO ASESOR ELECTRICO  SUSCRITA POR ENTIDAD PÚBLICA DE CONSTRUCCION DE ESCENARIO DEPORTIVO, </t>
    </r>
    <r>
      <rPr>
        <sz val="10"/>
        <color rgb="FFFF0000"/>
        <rFont val="Arial Narrow"/>
        <family val="2"/>
      </rPr>
      <t>NO SE APORTA ACTA DE RECIBO FINAL O ACTA DE LIQUIDACIÓN DEL CONTRATO</t>
    </r>
    <r>
      <rPr>
        <sz val="10"/>
        <rFont val="Arial Narrow"/>
        <family val="2"/>
      </rPr>
      <t xml:space="preserve">
CONTRATO No. 3
APORTA CERTIFICACION COMO ASESOR ELECTRICO SUSCRITA POR ENTIDAD PÚBLICA DE CONSTRUCCION Y ADECUACION DE ESCENARIO DEPORTIVO, </t>
    </r>
    <r>
      <rPr>
        <sz val="10"/>
        <color rgb="FFFF0000"/>
        <rFont val="Arial Narrow"/>
        <family val="2"/>
      </rPr>
      <t>NO SE APORTA ACTA DE RECIBO FINAL O ACTA DE LIQUIDACIÓN DEL CONTRATO</t>
    </r>
  </si>
  <si>
    <t>CONTRATO No. 1
172 DIAS
CONTRATO No. 2
90 DIAS
CONTRATO No. 3
210 DIAS</t>
  </si>
  <si>
    <r>
      <rPr>
        <b/>
        <sz val="9"/>
        <rFont val="Arial Narrow"/>
        <family val="2"/>
      </rPr>
      <t>DIRECTOR DE OBRA</t>
    </r>
    <r>
      <rPr>
        <sz val="9"/>
        <rFont val="Arial Narrow"/>
        <family val="2"/>
      </rPr>
      <t xml:space="preserve">
CONTRATO No. 1 ADICIONAL
172 DIAS
</t>
    </r>
    <r>
      <rPr>
        <b/>
        <sz val="9"/>
        <rFont val="Arial Narrow"/>
        <family val="2"/>
      </rPr>
      <t>RESIDENTE DE OBRA</t>
    </r>
    <r>
      <rPr>
        <sz val="9"/>
        <rFont val="Arial Narrow"/>
        <family val="2"/>
      </rPr>
      <t xml:space="preserve">
CONTRATO No. 1 ADICIONAL
290 DIAS</t>
    </r>
  </si>
  <si>
    <r>
      <rPr>
        <b/>
        <sz val="10"/>
        <rFont val="Arial Narrow"/>
        <family val="2"/>
      </rPr>
      <t>DIRECTOR DE OBRA</t>
    </r>
    <r>
      <rPr>
        <sz val="10"/>
        <rFont val="Arial Narrow"/>
        <family val="2"/>
      </rPr>
      <t xml:space="preserve">
CONTRATO No. 1 ADICIONAL
APORTA CERTIFICACION DE OBRA COMO DIRECTOR DE OBRA SUSCRITA POR ENTIDAD PUBLICA DE CONSTRUCCION DE ESCENARIOS DEPORTIVOS. 
</t>
    </r>
    <r>
      <rPr>
        <sz val="10"/>
        <color rgb="FFFF0000"/>
        <rFont val="Arial Narrow"/>
        <family val="2"/>
      </rPr>
      <t>NO SE APORTA ACTA DE RECIBO FINAL O ACTA DE LIQUIDACIÓN DEL CONTRATO</t>
    </r>
    <r>
      <rPr>
        <sz val="10"/>
        <rFont val="Arial Narrow"/>
        <family val="2"/>
      </rPr>
      <t xml:space="preserve">
</t>
    </r>
    <r>
      <rPr>
        <b/>
        <sz val="10"/>
        <rFont val="Arial Narrow"/>
        <family val="2"/>
      </rPr>
      <t>RESIDENTE DE OBRA</t>
    </r>
    <r>
      <rPr>
        <sz val="10"/>
        <rFont val="Arial Narrow"/>
        <family val="2"/>
      </rPr>
      <t xml:space="preserve">
CONTRATO No. 1 ADICIONAL
APORTA CERTIFICACION COMO ASESOR ESTRUCTURAL SUSCRITA POR ENTIDAD PÚBLICA DE REFORZAMIENTO Y SANEAMIENTO DE ESCENARIO DEPORTIVO, </t>
    </r>
    <r>
      <rPr>
        <sz val="10"/>
        <color rgb="FFFF0000"/>
        <rFont val="Arial Narrow"/>
        <family val="2"/>
      </rPr>
      <t>NO SE APORTA ACTA DE RECIBO FINAL O ACTA DE LIQUIDACIÓN DEL CONTRATO. CERTIFICACIÓN NO VALIDA DE CONFORMIDAD CON EL REQUISITO DE EXPERIENCIA ESPECIFICA SOLICITADO EN EL PLIEGO.</t>
    </r>
  </si>
  <si>
    <r>
      <rPr>
        <b/>
        <sz val="10"/>
        <rFont val="Arial Narrow"/>
        <family val="2"/>
      </rPr>
      <t>DIRECTOR DE OBRA</t>
    </r>
    <r>
      <rPr>
        <sz val="10"/>
        <rFont val="Arial Narrow"/>
        <family val="2"/>
      </rPr>
      <t xml:space="preserve">
CONTRATO No. 1 ADICIONAL
VTE = $ 11.300.076.971
</t>
    </r>
    <r>
      <rPr>
        <b/>
        <sz val="10"/>
        <rFont val="Arial Narrow"/>
        <family val="2"/>
      </rPr>
      <t>RESIDENTE DE OBRA</t>
    </r>
    <r>
      <rPr>
        <sz val="10"/>
        <rFont val="Arial Narrow"/>
        <family val="2"/>
      </rPr>
      <t xml:space="preserve">
CONTRATO No. 1 ADICIONAL
VTE = $ 20.550.972.697</t>
    </r>
  </si>
  <si>
    <t>HABIL</t>
  </si>
  <si>
    <t>DIAS DE SUSPENSIÓN</t>
  </si>
  <si>
    <t>SUBSANA ACTA CONSORCIAL</t>
  </si>
  <si>
    <r>
      <t xml:space="preserve">CONTRATO No. 1
APORTA ACTA DE RECIBO FINAL DE OBRA COMO DIRECTORA DE OBRA EXPEDIDA POR ENTIDAD PUBLICA DE CONSTRUCCION Y MEJORAMIENTO DE ESCENARIOS DEPORTIVOS, SUSCRITA POR ENTIDAD PUBLICA
CONTRATO No. 2
APORTA CERTIFICACIÓN DE OBRA COMO DIRECTORA DE OBRA EXPEDIDA POR ENTIDAD PUBLICA DE CONSTRUCCION DE ESCENARIOS DEPORTIVOS, SUSCRITA POR ENTIDAD PUBLICA, </t>
    </r>
    <r>
      <rPr>
        <sz val="10"/>
        <color rgb="FFFF0000"/>
        <rFont val="Arial Narrow"/>
        <family val="2"/>
      </rPr>
      <t>SUBSANA ACTA DE LIQUIDACIÓN Y SE ACLARA QUE EN LA CARPETA DIGITAL #1 SE ENCUENTRA EL ACTA DE LIQUIDACION Y EL ACTA DE RECIBO FINAL EN LOS FOLIOS DEL 410 AL 421.</t>
    </r>
    <r>
      <rPr>
        <sz val="10"/>
        <rFont val="Arial Narrow"/>
        <family val="2"/>
      </rPr>
      <t xml:space="preserve">
CONTRATO No. 3
APORTA ACTA DE LIQUIDACIÓN DE OBRA COMO DIRECTORA DE OBRA EXPEDIDA POR ENTIDAD PUBLICA DE ADECUACION DE ESCENARIOS DEPORTIVOS, SUSCRITA POR ENTIDAD PUBLICA</t>
    </r>
  </si>
  <si>
    <r>
      <t>CONTRATO No. 1
7 MESES Y 25 DÍAS,</t>
    </r>
    <r>
      <rPr>
        <sz val="10"/>
        <color rgb="FFFF0000"/>
        <rFont val="Arial Narrow"/>
        <family val="2"/>
      </rPr>
      <t xml:space="preserve"> SUBSANA CERTIFICACIÓN DEL CONTRATISTA DE OBRA Y OTROSIES DE LA OPS QUE ACLARA TIEMPO DE EJECUCIÓN DE LA OPS</t>
    </r>
    <r>
      <rPr>
        <sz val="10"/>
        <rFont val="Arial Narrow"/>
        <family val="2"/>
      </rPr>
      <t xml:space="preserve">
CONTRATO No. 2
10 MESES
CONTRATO No. 3
9 MESES Y 25 DIAS</t>
    </r>
  </si>
  <si>
    <r>
      <t xml:space="preserve">CONTRATO No. 1
6 MESES
CONTRATO No. 2
10 MESES, </t>
    </r>
    <r>
      <rPr>
        <sz val="10"/>
        <color rgb="FFFF0000"/>
        <rFont val="Arial Narrow"/>
        <family val="2"/>
      </rPr>
      <t>SUBSANA CERTIFICACIÓN DEL CONTRATISTA DE OBRA Y OTROSIES DE LA OPS QUE ACLARA TIEMPO DE EJECUCIÓN DE LA OPS</t>
    </r>
    <r>
      <rPr>
        <sz val="10"/>
        <rFont val="Arial Narrow"/>
        <family val="2"/>
      </rPr>
      <t xml:space="preserve">
CONTRATO No. 3
6 MESES Y 15 DÍAS, </t>
    </r>
    <r>
      <rPr>
        <sz val="10"/>
        <color rgb="FFFF0000"/>
        <rFont val="Arial Narrow"/>
        <family val="2"/>
      </rPr>
      <t>SUBSANA CERTIFICACIÓN DEL CONTRATISTA DE OBRA Y OTROSIES DE LA OPS QUE ACLARA TIEMPO DE EJECUCIÓN DE LA OPS</t>
    </r>
  </si>
  <si>
    <r>
      <t xml:space="preserve">CONTRATO No. 1
</t>
    </r>
    <r>
      <rPr>
        <sz val="10"/>
        <color rgb="FFFF0000"/>
        <rFont val="Arial Narrow"/>
        <family val="2"/>
      </rPr>
      <t xml:space="preserve">SUBSANA CERTIFICACIÓN EXPEDIDA POR CONTRATISTA DE OBRA
</t>
    </r>
    <r>
      <rPr>
        <sz val="10"/>
        <rFont val="Arial Narrow"/>
        <family val="2"/>
      </rPr>
      <t>APORTA CONTRATO DE OPS COMO MAESTRO DE OBRA
APORTA ACTA DE RECIBO FINAL DE OBRA DE CONSTRUCCION DE ESCENARIOS DEPORTIVOS SUSCRITA POR INTERVENTOR.</t>
    </r>
    <r>
      <rPr>
        <sz val="10"/>
        <color rgb="FFFF0000"/>
        <rFont val="Arial Narrow"/>
        <family val="2"/>
      </rPr>
      <t xml:space="preserve">
</t>
    </r>
    <r>
      <rPr>
        <sz val="10"/>
        <rFont val="Arial Narrow"/>
        <family val="2"/>
      </rPr>
      <t xml:space="preserve">
CONTRATO No. 2
</t>
    </r>
    <r>
      <rPr>
        <sz val="10"/>
        <color rgb="FFFF0000"/>
        <rFont val="Arial Narrow"/>
        <family val="2"/>
      </rPr>
      <t>SUBSANA CERTIFICACIÓN EXPEDIDA POR CONTRATISTA DE OBRA</t>
    </r>
    <r>
      <rPr>
        <sz val="10"/>
        <rFont val="Arial Narrow"/>
        <family val="2"/>
      </rPr>
      <t xml:space="preserve">
APORTA CONTRATO DE OPS COMO MAESTRO DE OBRA
APORTA ACTA DE RECIBO FINAL DE OBRA DE CONSTRUCCION DE ESCENARIOS DEPORTIVOS, SUSCRITA POR ENTIDAD PUBLICA
</t>
    </r>
    <r>
      <rPr>
        <sz val="10"/>
        <color rgb="FFFF0000"/>
        <rFont val="Arial Narrow"/>
        <family val="2"/>
      </rPr>
      <t>SUBSANA CERTIFICACIÓN DEL CONTRATISTA DE OBRA Y OTROSIES DE LA OPS QUE ACLARA TIEMPO DE EJECUCIÓN DE LA OPS</t>
    </r>
    <r>
      <rPr>
        <sz val="10"/>
        <rFont val="Arial Narrow"/>
        <family val="2"/>
      </rPr>
      <t xml:space="preserve">
CONTRATO No. 3
</t>
    </r>
    <r>
      <rPr>
        <sz val="10"/>
        <color rgb="FFFF0000"/>
        <rFont val="Arial Narrow"/>
        <family val="2"/>
      </rPr>
      <t>SUBSANA CERTIFICACIÓN EXPEDIDA POR CONTRATISTA DE OBRA</t>
    </r>
    <r>
      <rPr>
        <sz val="10"/>
        <rFont val="Arial Narrow"/>
        <family val="2"/>
      </rPr>
      <t xml:space="preserve">
APORTA CONTRATO DE OPS COMO MAESTRO DE OBRA
APORTA ACTA DE RECIBO FINAL DE OBRA DE CONSTRUCCION Y MEJORAMIENTO DE ESCENARIOS DEPORTIVOS, SUSCRITA POR ENTIDAD PUBLICA
</t>
    </r>
    <r>
      <rPr>
        <sz val="10"/>
        <color rgb="FFFF0000"/>
        <rFont val="Arial Narrow"/>
        <family val="2"/>
      </rPr>
      <t>SUBSANA CERTIFICACIÓN DEL CONTRATISTA DE OBRA Y OTROSIES DE LA OPS QUE ACLARA TIEMPO DE EJECUCIÓN DE LA OPS</t>
    </r>
  </si>
  <si>
    <r>
      <t xml:space="preserve">CONTRATO No. 1
6 MESES Y 15 DÍAS, </t>
    </r>
    <r>
      <rPr>
        <sz val="10"/>
        <color rgb="FFFF0000"/>
        <rFont val="Arial Narrow"/>
        <family val="2"/>
      </rPr>
      <t xml:space="preserve">SUBSANA CERTIFICACIÓN DEL CONTRATISTA DE OBRA Y OTROSIES DE LA OPS QUE ACLARA TIEMPO DE EJECUCIÓN DE LA OPS.
</t>
    </r>
    <r>
      <rPr>
        <sz val="10"/>
        <rFont val="Arial Narrow"/>
        <family val="2"/>
      </rPr>
      <t xml:space="preserve">
CONTRATO No. 2
10 MESES, </t>
    </r>
    <r>
      <rPr>
        <sz val="10"/>
        <color rgb="FFFF0000"/>
        <rFont val="Arial Narrow"/>
        <family val="2"/>
      </rPr>
      <t>SUBSANA CERTIFICACIÓN DEL CONTRATISTA DE OBRA Y OTROSIES DE LA OPS QUE ACLARA TIEMPO DE EJECUCIÓN DE LA OPS.</t>
    </r>
    <r>
      <rPr>
        <sz val="10"/>
        <rFont val="Arial Narrow"/>
        <family val="2"/>
      </rPr>
      <t xml:space="preserve">
CONTRATO No. 3
15 MESES Y 24 DÍAS, </t>
    </r>
    <r>
      <rPr>
        <sz val="10"/>
        <color rgb="FFFF0000"/>
        <rFont val="Arial Narrow"/>
        <family val="2"/>
      </rPr>
      <t>SUBSANA CERTIFICACIÓN DEL CONTRATISTA DE OBRA Y OTROSIES DE LA OPS QUE ACLARA TIEMPO DE EJECUCIÓN DE LA OPS.</t>
    </r>
  </si>
  <si>
    <r>
      <t xml:space="preserve">CONTRATO No. 1
APORTA ACTA DE LIQUIDAIÓN SUSCRITA POR ENTIDAD PUBLICA DONDE CERTIFICA MANTENIMIENTO Y ADECUACION DE ESCENARIOS DEPORTIVOS.
</t>
    </r>
    <r>
      <rPr>
        <b/>
        <sz val="9"/>
        <rFont val="Arial Narrow"/>
        <family val="2"/>
      </rPr>
      <t>ACREDITA SUMINISTRO E INSTALACION DE MATERIAL SINTETICO DE ALTA TECNOLOGIA Y 13 MM DE ESPESOR, BICAPA CON PROPIEDADES BIOMECANICAS OPTIMAS Y UNA SUPERFICIE SINTETICA GRANULADA CON POLIURETANO Y EPDM.</t>
    </r>
    <r>
      <rPr>
        <sz val="9"/>
        <rFont val="Arial Narrow"/>
        <family val="2"/>
      </rPr>
      <t xml:space="preserve">
CONTRATO No. 2
APORTA ACTA DE LIQUIDAIÓN Y ACTA DE RECIBO FINAL SUSCRITA POR ENTIDAD PUBLICA DONDE CERTIFICA CONSTRUCCION DE ESCENARIOS DEPORTIVOS. </t>
    </r>
    <r>
      <rPr>
        <sz val="9"/>
        <color rgb="FFFF0000"/>
        <rFont val="Arial Narrow"/>
        <family val="2"/>
      </rPr>
      <t xml:space="preserve">SUBSANA ACTA CONSORCIAL.
</t>
    </r>
    <r>
      <rPr>
        <sz val="9"/>
        <rFont val="Arial Narrow"/>
        <family val="2"/>
      </rPr>
      <t xml:space="preserve">
CONTRATO No. 3
APORTA CERTIFICACION Y ACTA DE RECIBO FINAL SUSCRITA POR ENTIDAD PUBLICA DONDE CERTIFICA CONSTRUCCION DE PAVIMENTO FLEXIBLE.
CONTRATO No. 4
APORTA ACTA DE LIQUIDAIÓN SUSCRITA POR ENTIDAD PUBLICA DONDE CERTIFICA CONSTRUCCION DE ESCENARIOS DEPORTIVOS.
CONTRATO No. 5
APORTA ACTA DE LIQUIDAIÓN SUSCRITA POR ENTIDAD PUBLICA DONDE CERTIFICA ADECUACIÓN DE ESCENARIOS DEPORTIVOS.</t>
    </r>
    <r>
      <rPr>
        <sz val="9"/>
        <color rgb="FFFF0000"/>
        <rFont val="Arial Narrow"/>
        <family val="2"/>
      </rPr>
      <t xml:space="preserve"> SUBSANA ACTA CONSORCIAL.</t>
    </r>
  </si>
  <si>
    <r>
      <t xml:space="preserve">CONTRATO No. 1
</t>
    </r>
    <r>
      <rPr>
        <sz val="9"/>
        <color rgb="FFFF0000"/>
        <rFont val="Arial Narrow"/>
        <family val="2"/>
      </rPr>
      <t>SUBSANA CERTIFICACIÓN EXPEDIDA POR CONTRATISTA DE OBRA</t>
    </r>
    <r>
      <rPr>
        <sz val="9"/>
        <rFont val="Arial Narrow"/>
        <family val="2"/>
      </rPr>
      <t xml:space="preserve">
APORTA CONTRATO DE OPS COMO PROFESIONAL SISOMA
APORTA ACTA DE RECIBO FINAL DE OBRA DE CONSTRUCCION Y MEJORAMIENTO DE ESCENARIOS DEPORTIVOS, SUSCRITA POR ENTIDAD PUBLICA.
</t>
    </r>
    <r>
      <rPr>
        <sz val="9"/>
        <color rgb="FFFF0000"/>
        <rFont val="Arial Narrow"/>
        <family val="2"/>
      </rPr>
      <t xml:space="preserve">SUBSANA CERTIFICACIÓN DEL CONTRATISTA DE OBRA Y OTROSIES DE LA OPS QUE ACLARA TIEMPO DE EJECUCIÓN DE LA OPS.
</t>
    </r>
    <r>
      <rPr>
        <sz val="9"/>
        <rFont val="Arial Narrow"/>
        <family val="2"/>
      </rPr>
      <t xml:space="preserve">
CONTRATO No. 2
</t>
    </r>
    <r>
      <rPr>
        <sz val="9"/>
        <color rgb="FFFF0000"/>
        <rFont val="Arial Narrow"/>
        <family val="2"/>
      </rPr>
      <t>SUBSANA CERTIFICACIÓN EXPEDIDA POR CONTRATISTA DE OBRA</t>
    </r>
    <r>
      <rPr>
        <sz val="9"/>
        <rFont val="Arial Narrow"/>
        <family val="2"/>
      </rPr>
      <t xml:space="preserve">
APORTA CONTRATO DE OPS COMO RESIDENTE SISOMA
APORTA ACTA DE RECIBO FINAL DE OBRA DE CONSTRUCCION DE ESCENARIOS DEPORTIVOS, SUSCRITA POR ENTIDAD PUBLICA.
</t>
    </r>
    <r>
      <rPr>
        <sz val="9"/>
        <color rgb="FFFF0000"/>
        <rFont val="Arial Narrow"/>
        <family val="2"/>
      </rPr>
      <t>SUBSANA CERTIFICACIÓN DEL CONTRATISTA DE OBRA Y OTROSIES DE LA OPS QUE ACLARA TIEMPO DE EJECUCIÓN DE LA OPS.</t>
    </r>
    <r>
      <rPr>
        <sz val="9"/>
        <rFont val="Arial Narrow"/>
        <family val="2"/>
      </rPr>
      <t xml:space="preserve">
CONTRATO No. 3
</t>
    </r>
    <r>
      <rPr>
        <sz val="9"/>
        <color rgb="FFFF0000"/>
        <rFont val="Arial Narrow"/>
        <family val="2"/>
      </rPr>
      <t>SUBSANA CERTIFICACIÓN EXPEDIDA POR CONTRATISTA DE OBRA</t>
    </r>
    <r>
      <rPr>
        <sz val="9"/>
        <rFont val="Arial Narrow"/>
        <family val="2"/>
      </rPr>
      <t xml:space="preserve">
APORTA CONTRATO DE OPS COMO RESIDENTE SISOMA
APORTA ACTA DE LIQUIDACION DE OBRA DE CONSTRUCCION DE ESCENARIOS DEPORTIVOS, SUSCRITA POR ENTIDAD PUBLICA.
</t>
    </r>
    <r>
      <rPr>
        <sz val="9"/>
        <color rgb="FFFF0000"/>
        <rFont val="Arial Narrow"/>
        <family val="2"/>
      </rPr>
      <t>SUBSANA CERTIFICACIÓN DEL CONTRATISTA DE OBRA Y OTROSIES DE LA OPS QUE ACLARA TIEMPO DE EJECUCIÓN DE LA OPS.</t>
    </r>
  </si>
  <si>
    <r>
      <t xml:space="preserve">CONTRATO No. 1
</t>
    </r>
    <r>
      <rPr>
        <sz val="10"/>
        <color rgb="FFFF0000"/>
        <rFont val="Arial Narrow"/>
        <family val="2"/>
      </rPr>
      <t xml:space="preserve">SUBSANA CERTIFICACIÓN EXPEDIDA POR CONTRATISTA DE OBRA
</t>
    </r>
    <r>
      <rPr>
        <sz val="10"/>
        <rFont val="Arial Narrow"/>
        <family val="2"/>
      </rPr>
      <t xml:space="preserve">APORTA CONTRATO DE OPS COMO RESIDENTE DE OBRA
APORTA ACTA DE RECIBO FINAL DE OBRA DE CONSTRUCCION Y MEJORAMIENTO DE ESCENARIOS DEPORTIVOS, SUSCRITA POR ENTIDAD PUBLICA 
</t>
    </r>
    <r>
      <rPr>
        <sz val="10"/>
        <color rgb="FFFF0000"/>
        <rFont val="Arial Narrow"/>
        <family val="2"/>
      </rPr>
      <t xml:space="preserve">SUBSANA CERTIFICACIÓN DEL CONTRATISTA DE OBRA Y OTROSIES DE LA OPS QUE ACLARA TIEMPO DE EJECUCIÓN DE LA OPS
</t>
    </r>
    <r>
      <rPr>
        <sz val="10"/>
        <rFont val="Arial Narrow"/>
        <family val="2"/>
      </rPr>
      <t xml:space="preserve">
CONTRATO No. 2
APORTA ACTA DE LIQUIDACIÓN DE OBRA COMO RESIDENTE DE OBRA SUSCRITA POR ENTIDAD PUBLICA DE ADECUACION DE ESCENARIOS DEPORTIVOS.
CONTRATO No. 3
APORTA CERTIFICACIÓN DE OBRA COMO RESIDENTE DE OBRA EXPEDIDA POR ENTIDAD PUBLICA DE CONSTRUCCION DE ESCENARIOS DEPORTIVOS, SUSCRITA POR ENTIDAD PUBLICA. </t>
    </r>
    <r>
      <rPr>
        <sz val="10"/>
        <color rgb="FFFF0000"/>
        <rFont val="Arial Narrow"/>
        <family val="2"/>
      </rPr>
      <t>SUBSANA ACTA DE LIQUIDACIÓN Y SE ACLARA QUE  EN LA CARPETA DIGITAL #1 SE ENCUENTRA EL ACTA DE RECIBO FINAL EN LOS FOLIOS DEL 567 AL 570.</t>
    </r>
    <r>
      <rPr>
        <sz val="10"/>
        <rFont val="Arial Narrow"/>
        <family val="2"/>
      </rPr>
      <t xml:space="preserve">
</t>
    </r>
  </si>
  <si>
    <t>ESTADO DE RESULTADOS 2018 SIN AUDITAR</t>
  </si>
  <si>
    <t>REHABILITACION</t>
  </si>
  <si>
    <r>
      <t xml:space="preserve">CONTRATO No. 1
APORTA CERTIFICACION COMO DIRECTOR DE OBRA SUSCRITA POR ENTIDAD PÚBLICA DE CONSTRUCCION DE ESCENARIO DEPORTIVO.
</t>
    </r>
    <r>
      <rPr>
        <sz val="10"/>
        <color rgb="FFFF0000"/>
        <rFont val="Arial Narrow"/>
        <family val="2"/>
      </rPr>
      <t>SUBSANA ACTA DE LIQUIDACIÓN DE OBRA SUSCRITA POR ENTIDAD PUBLICA.</t>
    </r>
    <r>
      <rPr>
        <sz val="10"/>
        <rFont val="Arial Narrow"/>
        <family val="2"/>
      </rPr>
      <t xml:space="preserve">
CONTRATO No. 2
APORTA CERTIFICACION COMO DIRECTOR DE OBRA SUSCRITA POR ENTIDAD PÚBLICA DE CONSTRUCCION Y ADECUACION DE ESCENARIO DEPORTIVO. 
</t>
    </r>
    <r>
      <rPr>
        <sz val="10"/>
        <color rgb="FFFF0000"/>
        <rFont val="Arial Narrow"/>
        <family val="2"/>
      </rPr>
      <t>SUBSANA ACTA DE RECIBO FINAL SUSCRITA POR ENTIDAD PUBLICA.</t>
    </r>
    <r>
      <rPr>
        <sz val="10"/>
        <rFont val="Arial Narrow"/>
        <family val="2"/>
      </rPr>
      <t xml:space="preserve">
CONTRATO No. 3
APORTA CERTIFICACION COMO DIRECTOR DE OBRA SUSCRITA POR ENTIDAD PÚBLICA DE CONSTRUCCION Y ADECUACION DE ESCENARIO DEPORTIVO.
</t>
    </r>
    <r>
      <rPr>
        <sz val="10"/>
        <color rgb="FFFF0000"/>
        <rFont val="Arial Narrow"/>
        <family val="2"/>
      </rPr>
      <t>SUBSANA ACTA DE RECIBO FINAL SUSCRITA POR ENTIDAD PUBLICA.</t>
    </r>
  </si>
  <si>
    <r>
      <t xml:space="preserve">CONTRATO No. 1
APORTA CERTIFICACION COMO RESIDENTE DE OBRA SUSCRITA POR ENTIDAD PÚBLICA DE CONSTRUCCION DE ESCENARIO DEPORTIVO.
</t>
    </r>
    <r>
      <rPr>
        <sz val="10"/>
        <color rgb="FFFF0000"/>
        <rFont val="Arial Narrow"/>
        <family val="2"/>
      </rPr>
      <t>SUBSANA ACTA DE LIQUIDACIÓN DE OBRA SUSCRITA POR ENTIDAD PUBLICA.</t>
    </r>
    <r>
      <rPr>
        <sz val="10"/>
        <rFont val="Arial Narrow"/>
        <family val="2"/>
      </rPr>
      <t xml:space="preserve">
CONTRATO No. 2
APORTA CERTIFICACION COMO DIRECTOR DE OBRA SUSCRITA POR ENTIDAD PÚBLICA DE CONSTRUCCION DE ESCENARIO DEPORTIVO.
</t>
    </r>
    <r>
      <rPr>
        <sz val="10"/>
        <color rgb="FFFF0000"/>
        <rFont val="Arial Narrow"/>
        <family val="2"/>
      </rPr>
      <t>SUBSANA ACTA DE RECIBO FINAL SUSCRITA POR ENTIDAD PUBLICA.</t>
    </r>
    <r>
      <rPr>
        <sz val="10"/>
        <rFont val="Arial Narrow"/>
        <family val="2"/>
      </rPr>
      <t xml:space="preserve">
CONTRATO No. 3
APORTA CERTIFICACION COMO DIRECTOR DE OBRA SUSCRITA POR ENTIDAD PÚBLICA DE CONSTRUCCION Y ADECUACION DE ESCENARIO DEPORTIVO.
</t>
    </r>
    <r>
      <rPr>
        <sz val="10"/>
        <color rgb="FFFF0000"/>
        <rFont val="Arial Narrow"/>
        <family val="2"/>
      </rPr>
      <t>SUBSANA ACTA DE RECIBO FINAL SUSCRITA POR ENTIDAD PUBLICA.</t>
    </r>
  </si>
  <si>
    <r>
      <rPr>
        <b/>
        <sz val="9"/>
        <rFont val="Arial Narrow"/>
        <family val="2"/>
      </rPr>
      <t>INTEGRANTE CASTRO SPADAFFORA APORTA:</t>
    </r>
    <r>
      <rPr>
        <sz val="9"/>
        <color rgb="FFFF0000"/>
        <rFont val="Arial Narrow"/>
        <family val="2"/>
      </rPr>
      <t xml:space="preserve">
SUBSANA FORMATO CONTRATOS EN EJECUCIÓN SUSCRITO POR INTEGRANTE Y CONTADOR
</t>
    </r>
    <r>
      <rPr>
        <sz val="9"/>
        <rFont val="Arial Narrow"/>
        <family val="2"/>
      </rPr>
      <t xml:space="preserve">FORMATO EXPERIENCIA SEGMENTO 72 DEBIDAMENTE SUSCRITO
FORMATO CAPACIDAD TECNICA DEBIDAMENTE SUSCRITO
ESTADO DE RESULTADOS AÑO 2015 DEBIDAMENTE SUSCRITO
DICTAMEN A ESTADOS FINANCIEROS AÑO 2015 AUDITADO POR CONTADOR INDEPENDIENTE
MATRICULA PROFESIONAL DE CONTADOR PUBLICO
</t>
    </r>
    <r>
      <rPr>
        <sz val="9"/>
        <color rgb="FFFF0000"/>
        <rFont val="Arial Narrow"/>
        <family val="2"/>
      </rPr>
      <t>SUBSANA VIGENCIA MP DE CONTADOR PUBLICO</t>
    </r>
    <r>
      <rPr>
        <sz val="9"/>
        <rFont val="Arial Narrow"/>
        <family val="2"/>
      </rPr>
      <t xml:space="preserve">
MATRICULA PROFESIONAL DE AUDITOR INDEPENDIENTE
</t>
    </r>
    <r>
      <rPr>
        <sz val="9"/>
        <color rgb="FFFF0000"/>
        <rFont val="Arial Narrow"/>
        <family val="2"/>
      </rPr>
      <t>SUBSANA VIGENCIA MP DE AUDITOR INDEPENDIENTE</t>
    </r>
    <r>
      <rPr>
        <sz val="9"/>
        <rFont val="Arial Narrow"/>
        <family val="2"/>
      </rPr>
      <t xml:space="preserve">
</t>
    </r>
    <r>
      <rPr>
        <b/>
        <sz val="9"/>
        <rFont val="Arial Narrow"/>
        <family val="2"/>
      </rPr>
      <t xml:space="preserve">
INTEGRANTE ASESORIA COLOMBIA SAS APORTA:</t>
    </r>
    <r>
      <rPr>
        <sz val="9"/>
        <rFont val="Arial Narrow"/>
        <family val="2"/>
      </rPr>
      <t xml:space="preserve">
FORMATO CONTRATOS EN EJECUCIÓN DEBIDAMENTE SUSCRITO
FORMATO EXPERIENCIA SEGMENTO 72 DEBIDAMENTE SUSCRITO
</t>
    </r>
    <r>
      <rPr>
        <sz val="9"/>
        <color rgb="FFFF0000"/>
        <rFont val="Arial Narrow"/>
        <family val="2"/>
      </rPr>
      <t>SUBSANA FORMATO CAPACIDAD TECNICA SUSCRITO POR INTEGRANTE Y REVISOR FISCAL</t>
    </r>
    <r>
      <rPr>
        <sz val="9"/>
        <rFont val="Arial Narrow"/>
        <family val="2"/>
      </rPr>
      <t xml:space="preserve">
</t>
    </r>
    <r>
      <rPr>
        <sz val="9"/>
        <color rgb="FFFF0000"/>
        <rFont val="Arial Narrow"/>
        <family val="2"/>
      </rPr>
      <t>ESTADO DE RESULTADOS AÑO 2019 DEBIDAMENTE SUSCRITO, REGISTRADO EN EL RUP.
SUBSANA DICTAMEN DE REVISOR FISCAL</t>
    </r>
    <r>
      <rPr>
        <sz val="9"/>
        <rFont val="Arial Narrow"/>
        <family val="2"/>
      </rPr>
      <t xml:space="preserve">
MATRICULA PROFESIONAL DE CONTADOR PUBLICO
VIGENCIA MP DE CONTADOR PUBLICO 18-MAY-2020
MATRICULA PROFESIONAL DE REVISOR FISCAL
VIGENCIA MP DE REVISOR FISCAL 17-FABR-2020</t>
    </r>
  </si>
  <si>
    <r>
      <rPr>
        <b/>
        <sz val="9"/>
        <rFont val="Arial Narrow"/>
        <family val="2"/>
      </rPr>
      <t>DIRECTOR DE OBRA</t>
    </r>
    <r>
      <rPr>
        <sz val="9"/>
        <rFont val="Arial Narrow"/>
        <family val="2"/>
      </rPr>
      <t xml:space="preserve">
CONTRATO No. 1 ADICIONAL
APORTA CERTIFICACION Y ACTA DE LIQUIDACION DE OBRA COMO DIRECTORA DE OBRA SUSCRITA POR ENTIDAD PUBLICA DE ADECUACION Y CONSTRUCCION DE ESCENARIOS DEPORTIVOS. 
CONTRATO No. 2 ADICIONAL
APORTA ACTA DE TERMINACIÓN COMO DIRECTORA DE OBRA SUSCRITA POR INTERVENTORIA DE CONSTRUCCIÓN DE ESCENARIOS DEPORTIVOS. </t>
    </r>
    <r>
      <rPr>
        <sz val="9"/>
        <color rgb="FFFF0000"/>
        <rFont val="Arial Narrow"/>
        <family val="2"/>
      </rPr>
      <t>DOCUMENTO NO VALIDO POR NO ESTAR SUSCRITO POR LA ENTIDAD PUBLICA.</t>
    </r>
    <r>
      <rPr>
        <sz val="9"/>
        <rFont val="Arial Narrow"/>
        <family val="2"/>
      </rPr>
      <t xml:space="preserve">
</t>
    </r>
    <r>
      <rPr>
        <b/>
        <sz val="9"/>
        <rFont val="Arial Narrow"/>
        <family val="2"/>
      </rPr>
      <t>RESIDENTE DE OBRA</t>
    </r>
    <r>
      <rPr>
        <sz val="9"/>
        <rFont val="Arial Narrow"/>
        <family val="2"/>
      </rPr>
      <t xml:space="preserve">
CONTRATO No. 1 ADICIONAL
APORTA ACTA DE TERMINACIÓN COMO RESIDENTE DE OBRA SUSCRITA POR INTERVENTORIA DE CONSTRUCCIÓN DE ESCENARIOS DEPORTIVOS. </t>
    </r>
    <r>
      <rPr>
        <sz val="9"/>
        <color rgb="FFFF0000"/>
        <rFont val="Arial Narrow"/>
        <family val="2"/>
      </rPr>
      <t>DOCUMENTO NO VALIDO POR NO ESTAR SUSCRITO POR LA ENTIDAD PUBLICA.</t>
    </r>
    <r>
      <rPr>
        <sz val="9"/>
        <rFont val="Arial Narrow"/>
        <family val="2"/>
      </rPr>
      <t xml:space="preserve">
CONTRATO No. 2 ADICIONAL
APORTA CERTIFICACION Y ACTA DE LIQUIDACION DE OBRA COMO RESIDENTE DE OBRA SUSCRITA POR ENTIDAD PUBLICA DE ADECUACION Y CONSTRUCCION DE ESCENARIOS DEPORTIVOS</t>
    </r>
  </si>
  <si>
    <r>
      <rPr>
        <b/>
        <sz val="8"/>
        <rFont val="Arial Narrow"/>
        <family val="2"/>
      </rPr>
      <t>INTEGRANTE GAVIRIA SILVA MARCO JAVIER:</t>
    </r>
    <r>
      <rPr>
        <b/>
        <sz val="8"/>
        <color rgb="FFFF0000"/>
        <rFont val="Arial Narrow"/>
        <family val="2"/>
      </rPr>
      <t xml:space="preserve">
</t>
    </r>
    <r>
      <rPr>
        <sz val="8"/>
        <color rgb="FFFF0000"/>
        <rFont val="Arial Narrow"/>
        <family val="2"/>
      </rPr>
      <t xml:space="preserve">SUBSANA </t>
    </r>
    <r>
      <rPr>
        <sz val="8"/>
        <rFont val="Arial Narrow"/>
        <family val="2"/>
      </rPr>
      <t xml:space="preserve">FORMATO CONTRATOS EN EJECUCIÓN DEBIDAMENTE SUSCRITO, PERO REGISTRA INFORMACION INCOMPLETA </t>
    </r>
    <r>
      <rPr>
        <sz val="8"/>
        <color rgb="FFFF0000"/>
        <rFont val="Arial Narrow"/>
        <family val="2"/>
      </rPr>
      <t xml:space="preserve">(SE REQUIERE VALOR DEL CONTRATO, PLAZO CONTRACTUAL INCLUIDAS PRORROGAS, FECHA DE INICIO, FECHA DE SUSPENSIÓN, DIAS EJECUTADOS, DIAS POR EJECUTAR Y % DE PARTICIPACION EN ESTRUCTURA PLURAL)  
</t>
    </r>
    <r>
      <rPr>
        <sz val="8"/>
        <rFont val="Arial Narrow"/>
        <family val="2"/>
      </rPr>
      <t xml:space="preserve">FORMATO EXPERIENCIA SEGMENTO 72 DEBIDAMENTE SUSCRITO 
FORMATO CAPACIDAD TECNICA DEBIDAMENTE SUSCRITO 
</t>
    </r>
    <r>
      <rPr>
        <sz val="8"/>
        <color rgb="FFFF0000"/>
        <rFont val="Arial Narrow"/>
        <family val="2"/>
      </rPr>
      <t>SUBSANA ESTADO DE RESULTADOS AÑO 2015 DEBIDAMENTE SUSCRITO Y AUDITADO POR CONTADOR INDEPENDIENTE</t>
    </r>
    <r>
      <rPr>
        <sz val="8"/>
        <rFont val="Arial Narrow"/>
        <family val="2"/>
      </rPr>
      <t xml:space="preserve">
</t>
    </r>
    <r>
      <rPr>
        <sz val="8"/>
        <color rgb="FFFF0000"/>
        <rFont val="Arial Narrow"/>
        <family val="2"/>
      </rPr>
      <t>SUBSANA MATRICULA PROFESIONAL DE CONTADOR PUBLICO Y AUDITOR INDEPENDIENTE
SUBSANA VIGENCIA MP DE CONTADOR PUBLICO Y AUDITOR INDEPENDIENTE</t>
    </r>
    <r>
      <rPr>
        <sz val="8"/>
        <color rgb="FFC00000"/>
        <rFont val="Arial Narrow"/>
        <family val="2"/>
      </rPr>
      <t xml:space="preserve">
</t>
    </r>
    <r>
      <rPr>
        <sz val="8"/>
        <rFont val="Arial Narrow"/>
        <family val="2"/>
      </rPr>
      <t xml:space="preserve">
</t>
    </r>
    <r>
      <rPr>
        <b/>
        <sz val="8"/>
        <rFont val="Arial Narrow"/>
        <family val="2"/>
      </rPr>
      <t>INTEGRANTE MC CONSTRUCCIONES Y CONSULTORÍAS SAS:</t>
    </r>
    <r>
      <rPr>
        <sz val="8"/>
        <rFont val="Arial Narrow"/>
        <family val="2"/>
      </rPr>
      <t xml:space="preserve">
FORMATO CONTRATOS EN EJECUCIÓN DEBIDAMENTE SUSCRITO
FORMATO EXPERIENCIA SEGMENTO 72 DEBIDAMENTE SUSCRITO
FORMATO CAPACIDAD TECNICA DEBIDAMENTE SUSCRITO 
</t>
    </r>
    <r>
      <rPr>
        <sz val="8"/>
        <color rgb="FFFF0000"/>
        <rFont val="Arial Narrow"/>
        <family val="2"/>
      </rPr>
      <t>ALLEGA ESTADO DE RESULTADOS AÑO 2018 DEBIDAMENTE SUSCRITO SIN ESTAR AUDITADO POR CONTADOR INDEPENDIENTE</t>
    </r>
    <r>
      <rPr>
        <sz val="8"/>
        <rFont val="Arial Narrow"/>
        <family val="2"/>
      </rPr>
      <t xml:space="preserve">
</t>
    </r>
    <r>
      <rPr>
        <sz val="8"/>
        <color rgb="FFFF0000"/>
        <rFont val="Arial Narrow"/>
        <family val="2"/>
      </rPr>
      <t>SUBSANA MATRICULA PROFESIONAL DE CONTADOR PUBLICO Y REVISOR FISCAL
NO APORTA MATRICULA PROFESIONAL DE AUDITOR INDEPENDIENTE
SUBSANA VIGENCIA MP DE CONTADOR PUBLICO Y REVISOR FISCAL
NO APORTA VIGENCIA MP DE AUDITOR INDEPENDIENTE</t>
    </r>
    <r>
      <rPr>
        <sz val="8"/>
        <color rgb="FFC00000"/>
        <rFont val="Arial Narrow"/>
        <family val="2"/>
      </rPr>
      <t xml:space="preserve">
</t>
    </r>
    <r>
      <rPr>
        <sz val="8"/>
        <rFont val="Arial Narrow"/>
        <family val="2"/>
      </rPr>
      <t xml:space="preserve">
</t>
    </r>
    <r>
      <rPr>
        <b/>
        <sz val="8"/>
        <rFont val="Arial Narrow"/>
        <family val="2"/>
      </rPr>
      <t xml:space="preserve">INTEGRANTE ESDRAS MD INGENIERIA SAS:
</t>
    </r>
    <r>
      <rPr>
        <sz val="8"/>
        <color rgb="FFFF0000"/>
        <rFont val="Arial Narrow"/>
        <family val="2"/>
      </rPr>
      <t xml:space="preserve">SUBSANA </t>
    </r>
    <r>
      <rPr>
        <sz val="8"/>
        <rFont val="Arial Narrow"/>
        <family val="2"/>
      </rPr>
      <t xml:space="preserve">FORMATO CONTRATOS EN EJECUCIÓN DEBIDAMENTE SUSCRITO, PERO REGISTRA INFORMACION INCOMPLETA </t>
    </r>
    <r>
      <rPr>
        <sz val="8"/>
        <color rgb="FFFF0000"/>
        <rFont val="Arial Narrow"/>
        <family val="2"/>
      </rPr>
      <t xml:space="preserve">(SE REQUIERE VALOR DEL CONTRATO, PLAZO CONTRACTUAL INCLUIDAS PRORROGAS, FECHA DE INICIO, FECHA DE SUSPENSIÓN, DIAS EJECUTADOS, DIAS POR EJECUTAR Y % DE PARTICIPACION EN ESTRUCTURA PLURAL)  </t>
    </r>
    <r>
      <rPr>
        <sz val="8"/>
        <rFont val="Arial Narrow"/>
        <family val="2"/>
      </rPr>
      <t xml:space="preserve">
FORMATO EXPERIENCIA SEGMENTO 72 DEBIDAMENTE SUSCRITO
FORMATO CAPACIDAD TECNICA DEBIDAMENTE SUSCRITO 
</t>
    </r>
    <r>
      <rPr>
        <sz val="8"/>
        <color rgb="FFFF0000"/>
        <rFont val="Arial Narrow"/>
        <family val="2"/>
      </rPr>
      <t>SUBSANA ESTADO DE RESULTADOS AÑO 2018 DEBIDAMENTE SUSCRITO REGISTRADO EN EL RUP.</t>
    </r>
    <r>
      <rPr>
        <sz val="8"/>
        <rFont val="Arial Narrow"/>
        <family val="2"/>
      </rPr>
      <t xml:space="preserve">
</t>
    </r>
    <r>
      <rPr>
        <sz val="8"/>
        <color rgb="FFFF0000"/>
        <rFont val="Arial Narrow"/>
        <family val="2"/>
      </rPr>
      <t>SUBSANA MATRICULA PROFESIONAL DE CONTADOR PUBLICO Y REVISOR FISCAL.
SUBSANA VIGENCIA MP DE CONTADOR PUBLICO Y REVISOR FISCAL</t>
    </r>
  </si>
  <si>
    <r>
      <t xml:space="preserve">EL REP. LEGAL DEL CONSORCIO NO ACREDITA LA PROFESIÓN REQUERIDA.
</t>
    </r>
    <r>
      <rPr>
        <b/>
        <sz val="10"/>
        <color rgb="FFFF0000"/>
        <rFont val="Arial Narrow"/>
        <family val="2"/>
      </rPr>
      <t>El representante leagl del consorcio debe acreditar la profesión de ingeniero civil o arquitecto con la presentación de la matricula profesional y la vigencia de la matricula profesional expedida por la entidad competente.</t>
    </r>
  </si>
  <si>
    <r>
      <t xml:space="preserve">CONTRATO No. 1
APORTA ACTA DE LIQUIDAIÓN SUSCRITA POR ENTIDAD PUBLICA DONDE CERTIFICA CONSTRUCCION DE ESTADIO DE ATLETISMO.
</t>
    </r>
    <r>
      <rPr>
        <b/>
        <sz val="8"/>
        <rFont val="Arial Narrow"/>
        <family val="2"/>
      </rPr>
      <t>ACREDITA SUMINISTRO E INSTALACION DE SUPERFICIE SINTETICA PREFABRICADA DE CAUCHO NATURAL CALANDRADO Y VULCANIZADO DE 13 Y 23 MM. APORTA CERTICACIÓN IAAF MATERIAL SINTETICO REPUGOL AG, BSW GMBH, ALEMANIA</t>
    </r>
    <r>
      <rPr>
        <sz val="8"/>
        <rFont val="Arial Narrow"/>
        <family val="2"/>
      </rPr>
      <t xml:space="preserve">
CONTRATO No. 2
APORTA ACTA DE TERMINACION SUSCRITA POR INTERVENTOR DE ADECUACION DE ESCENARIO DEPORTIVO. </t>
    </r>
    <r>
      <rPr>
        <sz val="8"/>
        <color rgb="FFFF0000"/>
        <rFont val="Arial Narrow"/>
        <family val="2"/>
      </rPr>
      <t>SUBSANA ACTA DE RECIBO FINAL SUSCRITA POR ENTIDAD PUBLICA.</t>
    </r>
    <r>
      <rPr>
        <sz val="8"/>
        <rFont val="Arial Narrow"/>
        <family val="2"/>
      </rPr>
      <t xml:space="preserve">
CONTRATO No. 3
APORTA ACTA DE LIQUIDACIÓN Y CERTIFICACIÓN SUSCRITA POR ENTIDAD PUBLICA DE REHABILITAIÓN DE PAVIMENTO FLEXIBLE. </t>
    </r>
    <r>
      <rPr>
        <sz val="8"/>
        <color rgb="FFFF0000"/>
        <rFont val="Arial Narrow"/>
        <family val="2"/>
      </rPr>
      <t>NO SE ACEPTA REHABILITACIÓN PARA ACREDITAR EXPERIENCIA ESPECIFICA. ALLEGA ACTA DE RECIBO FINAL SUSCRITA POR ENTIDAD PUBLICA, PERO NO SUBSANA LA OBSERVACION EN TANTO QUE LA UNIVERSIDAD EXIGE CONSTRCCION DE PAVIMENTO FLEXIBLE Y NO REHABILITACIÓN.</t>
    </r>
    <r>
      <rPr>
        <sz val="8"/>
        <rFont val="Arial Narrow"/>
        <family val="2"/>
      </rPr>
      <t xml:space="preserve">
CONTRATO No. 4
APORTA CERTIFICACIÓN SUSCRITA POR ENTIDAD PUBLICA DE CONSTRUCCION DE POLIDEPORTIVO</t>
    </r>
  </si>
  <si>
    <r>
      <t xml:space="preserve">CONTRATO No. 1
APORTA CERTIFICACION COMO MAESTRO DE OBRA SUSCRITA POR ENTIDAD PÚBLICA DE CONSTRUCCION DE ESCENARIO DEPORTIVO.
</t>
    </r>
    <r>
      <rPr>
        <sz val="10"/>
        <color rgb="FFFF0000"/>
        <rFont val="Arial Narrow"/>
        <family val="2"/>
      </rPr>
      <t>SUBSANA ACTA DE RECIBO FINAL SUSCRITA POR ENTIDAD PUBLICA</t>
    </r>
    <r>
      <rPr>
        <sz val="10"/>
        <rFont val="Arial Narrow"/>
        <family val="2"/>
      </rPr>
      <t xml:space="preserve">
CONTRATO No. 2
APORTA CERTIFICACION COMO MAESTRO DE OBRA SUSCRITA POR ENTIDAD PÚBLICA DE CONSTRUCCION Y ADECUACIÓN DE ESCENARIO DEPORTIVO.
</t>
    </r>
    <r>
      <rPr>
        <sz val="10"/>
        <color rgb="FFFF0000"/>
        <rFont val="Arial Narrow"/>
        <family val="2"/>
      </rPr>
      <t>SUBSANA ACTA DE RECIBO FINAL SUSCRITA POR ENTIDAD PUBLICA</t>
    </r>
    <r>
      <rPr>
        <sz val="10"/>
        <rFont val="Arial Narrow"/>
        <family val="2"/>
      </rPr>
      <t xml:space="preserve">
CONTRATO No. 3
APORTA CERTIFICACION COMO MAESTRO DE OBRA SUSCRITA POR ENTIDAD PÚBLICA DE REFORZAMIENTO Y SANEAMIENTO DE ESCENARIO DEPORTIVO.
</t>
    </r>
    <r>
      <rPr>
        <sz val="10"/>
        <color rgb="FFFF0000"/>
        <rFont val="Arial Narrow"/>
        <family val="2"/>
      </rPr>
      <t>ALLEGA ACTA FINAL DE LIQUIDACION SUSCRITA POR ENTIDAD PUBLICA, PERO NO SUBSANA EL REQUERIMIENTO.
CERTIFICACIÓN NO VALIDA DE CONFORMIDAD CON EL REQUISITO DE EXPERIENCIA ESPECIFICA SOLICITADO EN EL PLIEGO.</t>
    </r>
  </si>
  <si>
    <r>
      <t xml:space="preserve">CONTRATO No. 1
APORTA CERTIFICACION COMO PROFESIONAL EN SALUD OCUPACIONAL SUSCRITA POR ENTIDAD PÚBLICA DE CONSTRUCCION DE ESCENARIO DEPORTIVO.
</t>
    </r>
    <r>
      <rPr>
        <sz val="10"/>
        <color rgb="FFFF0000"/>
        <rFont val="Arial Narrow"/>
        <family val="2"/>
      </rPr>
      <t>ALLEGA ACTA DE RECIBO FINAL SUSCRITA POR ENTIDAD PUBLICA, PERO NO SUBSANA EL REQUERIMIENTO.
NO CUMPLE CON LA EXPERIENCIA ACREDITADA COMO PROFESIONAL SISOMA.</t>
    </r>
    <r>
      <rPr>
        <sz val="10"/>
        <rFont val="Arial Narrow"/>
        <family val="2"/>
      </rPr>
      <t xml:space="preserve">
CONTRATO No. 2
APORTA CERTIFICACION COMO PROFESIONAL EN SALUD OCUPACIONAL  SUSCRITA POR ENTIDAD PÚBLICA DE CONSTRUCCION DE ESCENARIO DEPORTIVO.
</t>
    </r>
    <r>
      <rPr>
        <sz val="10"/>
        <color rgb="FFFF0000"/>
        <rFont val="Arial Narrow"/>
        <family val="2"/>
      </rPr>
      <t>ALLEGA ACTA FINAL DE LIQUIDACIÓN SUSCRITA POR ENTIDAD PUBLICA, PERO NO SUBSANA EL REQUERIMIENTO.
NO CUMPLE CON LA EXPERIENCIA ACREDITADA COMO PROFESIONAL SISOMA.</t>
    </r>
    <r>
      <rPr>
        <sz val="10"/>
        <rFont val="Arial Narrow"/>
        <family val="2"/>
      </rPr>
      <t xml:space="preserve">
CONTRATO No. 3
APORTA CERTIFICACION COMO PROFESIONAL EN SALUD OCUPACIONAL SUSCRITA POR ENTIDAD PÚBLICA DE CONSTRUCCION Y ADECUACIÓN DE ESCENARIO DEPORTIVO.
</t>
    </r>
    <r>
      <rPr>
        <sz val="10"/>
        <color rgb="FFFF0000"/>
        <rFont val="Arial Narrow"/>
        <family val="2"/>
      </rPr>
      <t>ALLEGA ACTA DE RECIBO FINAL SUSCRITA POR ENTIDAD PUBLICA, PERO NO SUBSANA EL REQUERIMIENTO.
NO CUMPLE CON LA EXPERIENCIA ACREDITADA COMO PROFESIONAL SISOMA.</t>
    </r>
  </si>
  <si>
    <r>
      <rPr>
        <sz val="12"/>
        <rFont val="Arial Narrow"/>
        <family val="2"/>
      </rPr>
      <t>30%</t>
    </r>
    <r>
      <rPr>
        <sz val="10"/>
        <rFont val="Arial Narrow"/>
        <family val="2"/>
      </rPr>
      <t xml:space="preserve">
</t>
    </r>
    <r>
      <rPr>
        <sz val="10"/>
        <color rgb="FFFF0000"/>
        <rFont val="Arial Narrow"/>
        <family val="2"/>
      </rPr>
      <t xml:space="preserve">La entidad evaluó la experiencia especifica del proponente bajo la siguiente condición establecida en el numeral 2.3.2 EXPERIENCIA ESPECÍFICA DEL PROPONENTE. </t>
    </r>
    <r>
      <rPr>
        <b/>
        <i/>
        <sz val="10"/>
        <color rgb="FFFF0000"/>
        <rFont val="Arial Narrow"/>
        <family val="2"/>
      </rPr>
      <t>"En caso que el proponente relacione o anexe un número superior a SEIS (6) contratos, para efectos de evaluación de la experiencia específica, únicamente se tendrán en cuenta los SEIS (6) primeros contratos relacionados en el formulario de experiencia específica (Anexo G) en orden consecutivo. Los proponentes deberán diligenciar toda la información requerida en el formulario de experiencia específica"</t>
    </r>
    <r>
      <rPr>
        <sz val="10"/>
        <color rgb="FFFF0000"/>
        <rFont val="Arial Narrow"/>
        <family val="2"/>
      </rPr>
      <t>. En este orden de ideas el proponente relaciono en el Anexo G un número de seis (6) contratos y los mismos fueron evaluados para certificar la experiencia especifica total del oferente relacionada con el criterio del VTE. POR LO ANTERIOR LA ENTIDAD SE RATIFICA EN SU POSICION DE QUE EL OFERENTE NO CUMPLE CON LO EXIGIDO EN EL PLIEGO DE CONDICIONES DEFITIVO.</t>
    </r>
  </si>
  <si>
    <r>
      <t xml:space="preserve">CONTRATO No. 1
APORTA ACTA DE LIQUIDACIÓN Y CERTIFICACIÓN SUSCRITA POR ENTIDAD PUBLICA DONDE CERTIFICA CONSTRUCCIÓN Y/O ADECUACIÓN DE ESTADIO (PISTA) DE ATLETISMO Y SUS ALREDEDORES.
</t>
    </r>
    <r>
      <rPr>
        <b/>
        <sz val="8"/>
        <rFont val="Arial Narrow"/>
        <family val="2"/>
      </rPr>
      <t>APORTA CERTIFICACIÓN IAAF QUE ACREDITA INSTALACIÓN DE MATERIAL SINTETICO SPORTFLEX SUPER X720, MONDO S.P.A., ITALY</t>
    </r>
    <r>
      <rPr>
        <sz val="8"/>
        <rFont val="Arial Narrow"/>
        <family val="2"/>
      </rPr>
      <t xml:space="preserve">
CONTRATO No. 2
APORTA ACTA DE RECIBO FINAL Y CERTIFICACIÓN SUSCRITA CON ENTIDAD PUBLICA CONSTRUCCIÓN PISTA ATLETICA DE OCHO CARRILES REGLAMENTARIOS ESTANDAR 400 MTS CERTIFICADA IAAF.
</t>
    </r>
    <r>
      <rPr>
        <b/>
        <sz val="8"/>
        <rFont val="Arial Narrow"/>
        <family val="2"/>
      </rPr>
      <t>APORTA CERTIFICACIÓN IAAF QUE ACREDITA INSTALACIÓN DE MATERIAL SINTETICO HERCULAN SR NATIONAL, HERCULAN B.V. NED</t>
    </r>
    <r>
      <rPr>
        <sz val="8"/>
        <rFont val="Arial Narrow"/>
        <family val="2"/>
      </rPr>
      <t xml:space="preserve">
CONTRATO No. 3
APORTA ACTA DE RECIBO FINAL SUSCRITA CON ENTIDAD PUBLICA DE CONSTRUCCIÓN DE CUBIERTAS EN POLIDEPORTIVOS.
</t>
    </r>
    <r>
      <rPr>
        <sz val="8"/>
        <color rgb="FFFF0000"/>
        <rFont val="Arial Narrow"/>
        <family val="2"/>
      </rPr>
      <t>NO APORTA CONFORMACION CONSORCIO QUE ACREDITA EXPERIENCIA.</t>
    </r>
    <r>
      <rPr>
        <sz val="8"/>
        <rFont val="Arial Narrow"/>
        <family val="2"/>
      </rPr>
      <t xml:space="preserve">
CONTRATO No. 4
APORTA ACTA DE LIQUIDACION SUSCRITA CON ENTIDAD PUBLICA DE CONSTRUCCIÓN Y MEJORAMIENTO DE DIFERENTES ESCENARIOS DEPORTIVOS
CONTRATO No. 5
APORTA ACTA DE RECIBO FINAL SUSCRITA CON ENTIDAD PUBLICA DE CONSTRUCCIÓN DE PISTA DE BMX
CONTRATO No. 6
APORTA ACTA DE LIQUIDACION  SUSCRITA CON ENTIDAD PUBLICA DE CONSTRUCCIÓN  PISTA DE BICICROS</t>
    </r>
  </si>
  <si>
    <t xml:space="preserve">INFORME DE EVALUACIÓN DE OFERTAS </t>
  </si>
  <si>
    <t>CONVOCATORIA PÚBLICA N° 013-2020</t>
  </si>
  <si>
    <t xml:space="preserve">VERIFICACIÓN REQUISITOS HABILITANTES - PROPONENTES </t>
  </si>
  <si>
    <t>POPAYÁN, 03 DE JULIO DE 2020</t>
  </si>
  <si>
    <t>OBJETO: CONSTRUCCIÓN DE OBRAS PARA EL MEJORAMIENTO DE LAS CONDICIONES DEL CENTRO DEPORTIVO UNIVERSITARIO TULCÁN DE LA UNIVERSIDAD DEL CAUCA EN EL MUNICIPIO DE POPAYÁN, DEPARTAMENTO DEL CAUCA.</t>
  </si>
  <si>
    <t>CONSORCIO UNIDEPORT 2020</t>
  </si>
  <si>
    <t>OBSERVACION</t>
  </si>
  <si>
    <t>REQUISITOS DE CAPACIDAD JURIDICA</t>
  </si>
  <si>
    <t>CARTA DE PRESENTACIÓN DE LA PROPUESTA</t>
  </si>
  <si>
    <t>GARANTÍA DE SERIEDAD DE LA OFERTA</t>
  </si>
  <si>
    <t>EXISTENCIA Y CAPACIDAD LEGAL</t>
  </si>
  <si>
    <t>SUBSANA</t>
  </si>
  <si>
    <t>EL REPRESENTANTE DEL CONSORCIO NO APORTA COPNIA DE LA VIGENCIA NI LA TARJETA PROFESIONAL.</t>
  </si>
  <si>
    <t xml:space="preserve">REGISTRO UNICO DE PROPONENTES </t>
  </si>
  <si>
    <t>EL CONSORCIADO ESDRAS MD INGENIERIA SAS NO CUMPLE CON LA FECHA DE EXPEDICIÓN DEL RUP, ES DEL 8 DE MAYO DE 2020.
DENTRO DEL TÉRMINO PARA LA PRESENTACIÓN DE OBSERVACIONES Y DOCUMENTOS SUBSANABLES ENVÍA EL REGISTRO ÚNICO DE PROPONENTES EXPEDIDO CON FECHA POSTERIOR AL CIERRE DE LA CONVOCATORIA, ES EXPEDIDO EL 7 DE JULIO DE 2020</t>
  </si>
  <si>
    <t xml:space="preserve"> CARTA DE ACEPTACIÓN DE REQUISITOS TÉCNICOS MÍNIMOS Y DE ACEPTACIÓN DEL PRESUPUESTO OFICIALANEXO I</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</si>
  <si>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</si>
  <si>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</si>
  <si>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</si>
  <si>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</si>
  <si>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</si>
  <si>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</si>
  <si>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 xml:space="preserve"> HÁBIL</t>
  </si>
  <si>
    <t>NO HÁBIL</t>
  </si>
  <si>
    <t>PROYECTÓ: ADRIANA M. PUSCUZ BRAVO</t>
  </si>
  <si>
    <t>UNIVERSIDAD DEL CAUCA - VICERRECTORIA ADMINISTRATIVA</t>
  </si>
  <si>
    <t xml:space="preserve">COMITÉ FINANCIERO ASESOR </t>
  </si>
  <si>
    <t>LICITACIÓN PÚBLICA N° 013-2020</t>
  </si>
  <si>
    <t xml:space="preserve">VERIFICACIÓN REQUISITOS FINANCIEROS - PROPONENTES </t>
  </si>
  <si>
    <t>CONSTRUCCIÓN DE OBRAS PARA EL MEJORAMIENTO DE LAS CONDICIONES DEL  CENTRO DEPORTIVO UNIVERSITARIO TULCAN DE LA UNIVERSIDAD DEL CAUCA EN EL MUNICIPIO DE POPAYAN, DEPORTAMENTO DEL CAUCA</t>
  </si>
  <si>
    <t>REQUISITOS DE CAPACIDAD FINANCIERA</t>
  </si>
  <si>
    <t>2.2.</t>
  </si>
  <si>
    <t>ÍNDICE DE LIQUIDEZ &gt;= 1,8</t>
  </si>
  <si>
    <t>NINGUNA</t>
  </si>
  <si>
    <t>NIVEL DE ENDEUDAMIENTO &lt;= 50%</t>
  </si>
  <si>
    <t>CAPITAL DE TRABAJO &gt;= AL 60% DEL PRESUPUESTO ASIGNADO $ 7.067.912.240</t>
  </si>
  <si>
    <t>RAZON DE COBERTURA:  MAYOR O IGUAL A 1 ó INDEFINIDO</t>
  </si>
  <si>
    <t>RENTABILIDAD SOBRE PATRIMONIO &gt; A 0,03</t>
  </si>
  <si>
    <t>RENTABILIDAD SOBRE ACTIVOS &gt; A 0,01</t>
  </si>
  <si>
    <t>JOSE REYMIR OJEDA OJEDA</t>
  </si>
  <si>
    <t>Profesional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</si>
</sst>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
    <numFmt numFmtId="176" formatCode="_-&quot;$&quot;* #,##0_-;\-&quot;$&quot;* #,##0_-;_-&quot;$&quot;* &quot;-&quot;??_-;_-@_-"/>
    <numFmt numFmtId="177" formatCode="_(* #,##0.00_);_(* \(#,##0.00\);_(* &quot;-&quot;??_);_(@_)"/>
    <numFmt numFmtId="178" formatCode="_(&quot;$&quot;\ * #,##0.00_);_(&quot;$&quot;\ * \(#,##0.00\);_(&quot;$&quot;\ * &quot;-&quot;??_);_(@_)"/>
    <numFmt numFmtId="179" formatCode="0.0000%"/>
    <numFmt numFmtId="180" formatCode="0.000%"/>
    <numFmt numFmtId="181" formatCode="_(&quot;$&quot;* #,##0_);_(&quot;$&quot;* \(#,##0\);_(&quot;$&quot;* &quot;-&quot;_);_(@_)"/>
    <numFmt numFmtId="182" formatCode="0\ &quot;PUNTOS&quot;"/>
    <numFmt numFmtId="183" formatCode="&quot;$&quot;#,##0.00"/>
    <numFmt numFmtId="184" formatCode="&quot;$&quot;#,##0"/>
  </numFmts>
  <fonts count="7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1"/>
      <color rgb="FFFFC000"/>
      <name val="Calibri"/>
      <family val="2"/>
      <scheme val="minor"/>
    </font>
    <font>
      <b/>
      <sz val="11"/>
      <name val="Calibri"/>
      <family val="2"/>
      <scheme val="minor"/>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sz val="10"/>
      <name val="Arial"/>
      <family val="2"/>
    </font>
    <font>
      <sz val="11"/>
      <color theme="1"/>
      <name val="Arial Narrow"/>
      <family val="2"/>
    </font>
    <font>
      <b/>
      <sz val="10"/>
      <color theme="1"/>
      <name val="Calibri"/>
      <family val="2"/>
      <scheme val="minor"/>
    </font>
    <font>
      <sz val="11"/>
      <color indexed="8"/>
      <name val="Calibri"/>
      <family val="2"/>
    </font>
    <font>
      <sz val="11"/>
      <color rgb="FF000000"/>
      <name val="Calibri"/>
      <family val="2"/>
      <charset val="204"/>
    </font>
    <font>
      <b/>
      <sz val="11"/>
      <color theme="1"/>
      <name val="Calibri"/>
      <family val="2"/>
      <scheme val="minor"/>
    </font>
    <font>
      <sz val="11"/>
      <name val="Arial Narrow"/>
      <family val="2"/>
    </font>
    <font>
      <sz val="9"/>
      <color indexed="81"/>
      <name val="Tahoma"/>
      <family val="2"/>
    </font>
    <font>
      <b/>
      <sz val="9"/>
      <color indexed="81"/>
      <name val="Tahoma"/>
      <family val="2"/>
    </font>
    <font>
      <b/>
      <sz val="9"/>
      <color theme="1"/>
      <name val="Arial"/>
      <family val="2"/>
    </font>
    <font>
      <sz val="9"/>
      <color theme="1"/>
      <name val="Arial"/>
      <family val="2"/>
    </font>
    <font>
      <b/>
      <u/>
      <sz val="10"/>
      <name val="Arial Narrow"/>
      <family val="2"/>
    </font>
    <font>
      <b/>
      <sz val="20"/>
      <name val="Arial Narrow"/>
      <family val="2"/>
    </font>
    <font>
      <b/>
      <sz val="20"/>
      <color theme="1"/>
      <name val="Calibri"/>
      <family val="2"/>
      <scheme val="minor"/>
    </font>
    <font>
      <b/>
      <sz val="12"/>
      <color theme="1"/>
      <name val="Arial"/>
      <family val="2"/>
    </font>
    <font>
      <sz val="12"/>
      <color theme="1"/>
      <name val="Calibri"/>
      <family val="2"/>
      <scheme val="minor"/>
    </font>
    <font>
      <b/>
      <sz val="14"/>
      <color theme="1"/>
      <name val="Calibri"/>
      <family val="2"/>
      <scheme val="minor"/>
    </font>
    <font>
      <b/>
      <sz val="9"/>
      <color theme="1"/>
      <name val="Calibri"/>
      <family val="2"/>
      <scheme val="minor"/>
    </font>
    <font>
      <b/>
      <sz val="11"/>
      <color rgb="FFFF0000"/>
      <name val="Calibri"/>
      <family val="2"/>
      <scheme val="minor"/>
    </font>
    <font>
      <sz val="10"/>
      <color theme="1"/>
      <name val="Calibri"/>
      <family val="2"/>
      <scheme val="minor"/>
    </font>
    <font>
      <sz val="10"/>
      <name val="Calibri"/>
      <family val="2"/>
      <scheme val="minor"/>
    </font>
    <font>
      <b/>
      <sz val="12"/>
      <color rgb="FFFF0000"/>
      <name val="Arial Narrow"/>
      <family val="2"/>
    </font>
    <font>
      <b/>
      <sz val="9"/>
      <name val="Arial Narrow"/>
      <family val="2"/>
    </font>
    <font>
      <sz val="10"/>
      <color rgb="FFFF0000"/>
      <name val="Arial Narrow"/>
      <family val="2"/>
    </font>
    <font>
      <b/>
      <sz val="10"/>
      <color rgb="FFFF0000"/>
      <name val="Calibri"/>
      <family val="2"/>
      <scheme val="minor"/>
    </font>
    <font>
      <sz val="9"/>
      <name val="Arial Narrow"/>
      <family val="2"/>
    </font>
    <font>
      <sz val="9"/>
      <color rgb="FFFF0000"/>
      <name val="Arial Narrow"/>
      <family val="2"/>
    </font>
    <font>
      <sz val="8"/>
      <name val="Arial Narrow"/>
      <family val="2"/>
    </font>
    <font>
      <b/>
      <sz val="8"/>
      <name val="Arial Narrow"/>
      <family val="2"/>
    </font>
    <font>
      <sz val="8"/>
      <color rgb="FFFF0000"/>
      <name val="Arial Narrow"/>
      <family val="2"/>
    </font>
    <font>
      <b/>
      <sz val="10"/>
      <name val="Calibri"/>
      <family val="2"/>
      <scheme val="minor"/>
    </font>
    <font>
      <b/>
      <i/>
      <sz val="10"/>
      <color rgb="FFFF0000"/>
      <name val="Arial Narrow"/>
      <family val="2"/>
    </font>
    <font>
      <b/>
      <sz val="8"/>
      <color rgb="FFFF0000"/>
      <name val="Arial Narrow"/>
      <family val="2"/>
    </font>
    <font>
      <sz val="8"/>
      <color rgb="FFC00000"/>
      <name val="Arial Narrow"/>
      <family val="2"/>
    </font>
    <font>
      <b/>
      <sz val="10"/>
      <color rgb="FFFF0000"/>
      <name val="Arial Narrow"/>
      <family val="2"/>
    </font>
    <font>
      <b/>
      <sz val="22"/>
      <name val="Arial"/>
      <family val="2"/>
    </font>
    <font>
      <b/>
      <sz val="22"/>
      <name val="Arial Narrow"/>
      <family val="2"/>
    </font>
    <font>
      <b/>
      <sz val="22"/>
      <color rgb="FF002060"/>
      <name val="Arial Narrow"/>
      <family val="2"/>
    </font>
    <font>
      <sz val="22"/>
      <name val="Arial Narrow"/>
      <family val="2"/>
    </font>
    <font>
      <sz val="16"/>
      <name val="Arial Narrow"/>
      <family val="2"/>
    </font>
    <font>
      <b/>
      <sz val="16"/>
      <name val="Arial Narrow"/>
      <family val="2"/>
    </font>
    <font>
      <b/>
      <sz val="16"/>
      <name val="Arial"/>
      <family val="2"/>
    </font>
    <font>
      <b/>
      <sz val="12"/>
      <color rgb="FF002060"/>
      <name val="Arial Narrow"/>
      <family val="2"/>
    </font>
  </fonts>
  <fills count="1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2"/>
        <bgColor indexed="64"/>
      </patternFill>
    </fill>
    <fill>
      <patternFill patternType="solid">
        <fgColor theme="9" tint="0.39997558519241921"/>
        <bgColor indexed="64"/>
      </patternFill>
    </fill>
    <fill>
      <patternFill patternType="solid">
        <fgColor rgb="FF9966FF"/>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s>
  <borders count="1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28">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5" fillId="0" borderId="0"/>
    <xf numFmtId="0" fontId="27" fillId="0" borderId="0"/>
    <xf numFmtId="0" fontId="1" fillId="0" borderId="0"/>
    <xf numFmtId="177" fontId="2" fillId="0" borderId="0" applyFont="0" applyFill="0" applyBorder="0" applyAlignment="0" applyProtection="0"/>
    <xf numFmtId="43" fontId="1" fillId="0" borderId="0" applyFont="0" applyFill="0" applyBorder="0" applyAlignment="0" applyProtection="0"/>
    <xf numFmtId="171" fontId="2" fillId="0" borderId="0" applyFont="0" applyFill="0" applyBorder="0" applyAlignment="0" applyProtection="0"/>
    <xf numFmtId="42" fontId="1" fillId="0" borderId="0" applyFont="0" applyFill="0" applyBorder="0" applyAlignment="0" applyProtection="0"/>
    <xf numFmtId="178" fontId="30" fillId="0" borderId="0" applyFont="0" applyFill="0" applyBorder="0" applyAlignment="0" applyProtection="0"/>
    <xf numFmtId="0" fontId="31" fillId="0" borderId="0"/>
    <xf numFmtId="42" fontId="1" fillId="0" borderId="0" applyFont="0" applyFill="0" applyBorder="0" applyAlignment="0" applyProtection="0"/>
    <xf numFmtId="41" fontId="1" fillId="0" borderId="0" applyFont="0" applyFill="0" applyBorder="0" applyAlignment="0" applyProtection="0"/>
  </cellStyleXfs>
  <cellXfs count="782">
    <xf numFmtId="0" fontId="0" fillId="0" borderId="0" xfId="0"/>
    <xf numFmtId="0" fontId="8" fillId="0" borderId="0" xfId="0" applyFont="1" applyFill="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0"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12" fillId="0" borderId="0" xfId="0" applyFont="1" applyFill="1" applyBorder="1"/>
    <xf numFmtId="0" fontId="6" fillId="0" borderId="0" xfId="111" applyFont="1" applyFill="1" applyAlignment="1">
      <alignment vertical="center"/>
    </xf>
    <xf numFmtId="0" fontId="13" fillId="0" borderId="0" xfId="111" applyFont="1" applyFill="1" applyAlignment="1">
      <alignment vertical="center"/>
    </xf>
    <xf numFmtId="0" fontId="2" fillId="0" borderId="0" xfId="111" applyFont="1" applyFill="1" applyAlignment="1">
      <alignment vertical="center"/>
    </xf>
    <xf numFmtId="0" fontId="14" fillId="0" borderId="0" xfId="111" applyFont="1" applyFill="1" applyAlignment="1">
      <alignment vertical="center"/>
    </xf>
    <xf numFmtId="0" fontId="6" fillId="0" borderId="0" xfId="111" applyFont="1" applyFill="1" applyBorder="1" applyAlignment="1">
      <alignment vertical="center"/>
    </xf>
    <xf numFmtId="0" fontId="6" fillId="0" borderId="9" xfId="111" applyFont="1" applyFill="1" applyBorder="1" applyAlignment="1">
      <alignment vertical="center"/>
    </xf>
    <xf numFmtId="0" fontId="13" fillId="0" borderId="0" xfId="111" applyFont="1" applyFill="1"/>
    <xf numFmtId="0" fontId="13" fillId="0" borderId="0" xfId="111" applyFont="1" applyBorder="1" applyAlignment="1">
      <alignment horizontal="justify" vertical="justify"/>
    </xf>
    <xf numFmtId="0" fontId="14" fillId="0" borderId="0" xfId="111" applyFont="1" applyFill="1" applyAlignment="1">
      <alignment horizontal="center" vertical="center"/>
    </xf>
    <xf numFmtId="0" fontId="13" fillId="0" borderId="0" xfId="111" applyFont="1" applyFill="1" applyAlignment="1">
      <alignment horizontal="center" vertical="center"/>
    </xf>
    <xf numFmtId="0" fontId="13" fillId="0" borderId="0" xfId="111" applyFont="1" applyFill="1" applyAlignment="1">
      <alignment horizontal="justify" vertical="justify"/>
    </xf>
    <xf numFmtId="0" fontId="15" fillId="0" borderId="0" xfId="111" applyFont="1" applyFill="1" applyAlignment="1">
      <alignment horizontal="justify" vertical="justify"/>
    </xf>
    <xf numFmtId="0" fontId="14" fillId="0" borderId="0" xfId="111" applyFont="1" applyFill="1" applyAlignment="1">
      <alignment horizontal="justify" vertical="justify"/>
    </xf>
    <xf numFmtId="0" fontId="14" fillId="0" borderId="0" xfId="111" applyFont="1" applyFill="1" applyBorder="1" applyAlignment="1">
      <alignment horizontal="left" vertical="top"/>
    </xf>
    <xf numFmtId="0" fontId="12" fillId="0" borderId="0" xfId="111" applyFont="1" applyFill="1"/>
    <xf numFmtId="0" fontId="14" fillId="0" borderId="0" xfId="111" applyFont="1" applyFill="1"/>
    <xf numFmtId="9" fontId="5" fillId="0" borderId="0" xfId="110" applyFont="1" applyBorder="1"/>
    <xf numFmtId="3" fontId="0" fillId="0" borderId="0" xfId="0" applyNumberFormat="1" applyBorder="1"/>
    <xf numFmtId="0" fontId="0" fillId="0" borderId="17" xfId="0" applyBorder="1" applyAlignment="1">
      <alignment horizontal="center"/>
    </xf>
    <xf numFmtId="9" fontId="0" fillId="0" borderId="17" xfId="110" applyFont="1" applyBorder="1"/>
    <xf numFmtId="3" fontId="0" fillId="0" borderId="17" xfId="0" applyNumberFormat="1" applyBorder="1"/>
    <xf numFmtId="9" fontId="11" fillId="0" borderId="15" xfId="96" applyFont="1" applyFill="1" applyBorder="1"/>
    <xf numFmtId="0" fontId="14" fillId="0" borderId="19" xfId="111" applyFont="1" applyFill="1" applyBorder="1" applyAlignment="1">
      <alignment horizontal="center" vertical="center" wrapText="1"/>
    </xf>
    <xf numFmtId="0" fontId="15" fillId="0" borderId="18" xfId="111" applyFont="1" applyFill="1" applyBorder="1" applyAlignment="1">
      <alignment horizontal="center" vertical="center"/>
    </xf>
    <xf numFmtId="0" fontId="6" fillId="0" borderId="0" xfId="111" applyFont="1" applyFill="1" applyBorder="1" applyAlignment="1">
      <alignment vertical="center" wrapText="1"/>
    </xf>
    <xf numFmtId="0" fontId="7" fillId="0" borderId="0" xfId="0" applyFont="1" applyFill="1" applyAlignment="1">
      <alignment horizontal="center" vertical="center"/>
    </xf>
    <xf numFmtId="0" fontId="15" fillId="0" borderId="19" xfId="111" applyFont="1" applyFill="1" applyBorder="1" applyAlignment="1">
      <alignment horizontal="center" vertical="center"/>
    </xf>
    <xf numFmtId="0" fontId="15" fillId="0" borderId="19" xfId="111" applyFont="1" applyFill="1" applyBorder="1" applyAlignment="1">
      <alignment horizontal="center" vertical="center" wrapText="1"/>
    </xf>
    <xf numFmtId="0" fontId="15" fillId="5" borderId="19" xfId="111" applyFont="1" applyFill="1" applyBorder="1" applyAlignment="1">
      <alignment horizontal="justify" vertical="center"/>
    </xf>
    <xf numFmtId="0" fontId="14" fillId="0" borderId="19" xfId="0" applyFont="1" applyFill="1" applyBorder="1" applyAlignment="1">
      <alignment horizontal="center" vertical="center"/>
    </xf>
    <xf numFmtId="0" fontId="15" fillId="5" borderId="19" xfId="111" applyFont="1" applyFill="1" applyBorder="1" applyAlignment="1">
      <alignment horizontal="left" vertical="center"/>
    </xf>
    <xf numFmtId="0" fontId="13" fillId="6" borderId="19" xfId="111" applyFont="1" applyFill="1" applyBorder="1" applyAlignment="1">
      <alignment horizontal="left" vertical="center" wrapText="1"/>
    </xf>
    <xf numFmtId="0" fontId="12" fillId="0" borderId="0" xfId="111" applyFont="1" applyFill="1" applyAlignment="1">
      <alignment horizontal="center" vertical="center"/>
    </xf>
    <xf numFmtId="0" fontId="14" fillId="0" borderId="0" xfId="111" applyFont="1" applyFill="1" applyAlignment="1">
      <alignment horizontal="right" vertical="justify"/>
    </xf>
    <xf numFmtId="170" fontId="14" fillId="0" borderId="0" xfId="111" applyNumberFormat="1" applyFont="1" applyFill="1" applyAlignment="1">
      <alignment horizontal="center" vertical="center"/>
    </xf>
    <xf numFmtId="170" fontId="14" fillId="0" borderId="0" xfId="111" applyNumberFormat="1" applyFont="1" applyFill="1" applyAlignment="1">
      <alignment horizontal="justify" vertical="justify"/>
    </xf>
    <xf numFmtId="175" fontId="12" fillId="0" borderId="0" xfId="111" applyNumberFormat="1" applyFont="1" applyFill="1" applyAlignment="1">
      <alignment horizontal="center" vertical="center"/>
    </xf>
    <xf numFmtId="175" fontId="14" fillId="0" borderId="0" xfId="111" applyNumberFormat="1" applyFont="1" applyFill="1" applyAlignment="1">
      <alignment horizontal="center" vertical="center"/>
    </xf>
    <xf numFmtId="0" fontId="22" fillId="0" borderId="0" xfId="111" applyFont="1" applyFill="1" applyAlignment="1">
      <alignment horizontal="center" vertical="center"/>
    </xf>
    <xf numFmtId="1" fontId="22" fillId="0" borderId="0" xfId="111" applyNumberFormat="1" applyFont="1" applyFill="1" applyAlignment="1">
      <alignment horizontal="center" vertical="center"/>
    </xf>
    <xf numFmtId="175" fontId="12" fillId="0" borderId="0" xfId="111" applyNumberFormat="1" applyFont="1" applyFill="1" applyAlignment="1">
      <alignment horizontal="justify" vertical="justify"/>
    </xf>
    <xf numFmtId="0" fontId="12" fillId="0" borderId="0" xfId="111" applyFont="1" applyFill="1" applyAlignment="1">
      <alignment horizontal="justify" vertical="justify"/>
    </xf>
    <xf numFmtId="0" fontId="12" fillId="0" borderId="0" xfId="111" applyFont="1" applyFill="1" applyAlignment="1">
      <alignment vertical="center"/>
    </xf>
    <xf numFmtId="170" fontId="12" fillId="0" borderId="0" xfId="111" applyNumberFormat="1" applyFont="1" applyFill="1" applyAlignment="1">
      <alignment horizontal="justify" vertical="justify"/>
    </xf>
    <xf numFmtId="170" fontId="14" fillId="0" borderId="19" xfId="111" applyNumberFormat="1" applyFont="1" applyFill="1" applyBorder="1" applyAlignment="1">
      <alignment horizontal="center" vertical="justify"/>
    </xf>
    <xf numFmtId="170" fontId="23" fillId="0" borderId="19" xfId="111" applyNumberFormat="1" applyFont="1" applyFill="1" applyBorder="1" applyAlignment="1">
      <alignment horizontal="center" vertical="center"/>
    </xf>
    <xf numFmtId="0" fontId="23" fillId="0" borderId="19" xfId="111" applyNumberFormat="1" applyFont="1" applyFill="1" applyBorder="1" applyAlignment="1">
      <alignment horizontal="center" vertical="center"/>
    </xf>
    <xf numFmtId="0" fontId="23" fillId="0" borderId="19" xfId="111" applyFont="1" applyFill="1" applyBorder="1" applyAlignment="1">
      <alignment horizontal="center" vertical="center"/>
    </xf>
    <xf numFmtId="0" fontId="23" fillId="0" borderId="0" xfId="111" applyFont="1" applyFill="1" applyAlignment="1">
      <alignment horizontal="justify" vertical="justify"/>
    </xf>
    <xf numFmtId="2" fontId="24" fillId="0" borderId="19" xfId="111" applyNumberFormat="1" applyFont="1" applyFill="1" applyBorder="1" applyAlignment="1">
      <alignment horizontal="center" vertical="center"/>
    </xf>
    <xf numFmtId="2" fontId="22" fillId="0" borderId="19" xfId="111" applyNumberFormat="1" applyFont="1" applyFill="1" applyBorder="1" applyAlignment="1">
      <alignment horizontal="center" vertical="center"/>
    </xf>
    <xf numFmtId="0" fontId="8" fillId="0" borderId="17" xfId="0" applyFont="1" applyFill="1" applyBorder="1" applyAlignment="1">
      <alignment horizontal="center" vertical="center"/>
    </xf>
    <xf numFmtId="174" fontId="8" fillId="0" borderId="17" xfId="116" applyNumberFormat="1" applyFont="1" applyFill="1" applyBorder="1" applyAlignment="1">
      <alignment horizontal="center" vertical="center"/>
    </xf>
    <xf numFmtId="168" fontId="8" fillId="0" borderId="17" xfId="0" applyNumberFormat="1" applyFont="1" applyFill="1" applyBorder="1" applyAlignment="1">
      <alignment vertical="center"/>
    </xf>
    <xf numFmtId="170" fontId="26" fillId="0" borderId="19" xfId="111" applyNumberFormat="1" applyFont="1" applyFill="1" applyBorder="1" applyAlignment="1">
      <alignment horizontal="center" vertical="justify"/>
    </xf>
    <xf numFmtId="0" fontId="16" fillId="0" borderId="18" xfId="111" applyFont="1" applyFill="1" applyBorder="1" applyAlignment="1">
      <alignment horizontal="center" vertical="center"/>
    </xf>
    <xf numFmtId="0" fontId="22" fillId="2" borderId="17" xfId="111" applyFont="1" applyFill="1" applyBorder="1" applyAlignment="1">
      <alignment horizontal="center" vertical="center"/>
    </xf>
    <xf numFmtId="170" fontId="22" fillId="0" borderId="19" xfId="111"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166" fontId="28" fillId="0" borderId="0" xfId="1" applyNumberFormat="1" applyFont="1" applyBorder="1" applyAlignment="1">
      <alignment horizontal="center"/>
    </xf>
    <xf numFmtId="0" fontId="15" fillId="0" borderId="9" xfId="111" applyFont="1" applyFill="1" applyBorder="1" applyAlignment="1">
      <alignment vertical="center"/>
    </xf>
    <xf numFmtId="0" fontId="15" fillId="0" borderId="9" xfId="111" applyFont="1" applyFill="1" applyBorder="1" applyAlignment="1">
      <alignment vertical="justify"/>
    </xf>
    <xf numFmtId="0" fontId="2" fillId="0" borderId="0" xfId="111" applyBorder="1"/>
    <xf numFmtId="0" fontId="13" fillId="0" borderId="20" xfId="111" applyFont="1" applyFill="1" applyBorder="1" applyAlignment="1">
      <alignment horizontal="center" vertical="center"/>
    </xf>
    <xf numFmtId="0" fontId="13" fillId="0" borderId="20" xfId="111" applyFont="1" applyFill="1" applyBorder="1" applyAlignment="1">
      <alignment horizontal="justify" vertical="justify"/>
    </xf>
    <xf numFmtId="0" fontId="2" fillId="0" borderId="0" xfId="111"/>
    <xf numFmtId="0" fontId="15" fillId="0" borderId="10" xfId="111" applyFont="1" applyFill="1" applyBorder="1" applyAlignment="1">
      <alignment horizontal="center" vertical="center" wrapText="1"/>
    </xf>
    <xf numFmtId="0" fontId="15" fillId="0" borderId="20" xfId="111" applyFont="1" applyFill="1" applyBorder="1" applyAlignment="1">
      <alignment horizontal="center" vertical="center" wrapText="1"/>
    </xf>
    <xf numFmtId="0" fontId="14" fillId="0" borderId="20" xfId="111" applyFont="1" applyFill="1" applyBorder="1" applyAlignment="1">
      <alignment horizontal="center" vertical="center" wrapText="1"/>
    </xf>
    <xf numFmtId="0" fontId="14" fillId="0" borderId="20" xfId="0" applyFont="1" applyFill="1" applyBorder="1" applyAlignment="1">
      <alignment horizontal="center" vertical="center"/>
    </xf>
    <xf numFmtId="0" fontId="15" fillId="3" borderId="12" xfId="111" applyFont="1" applyFill="1" applyBorder="1" applyAlignment="1">
      <alignment horizontal="center" vertical="center"/>
    </xf>
    <xf numFmtId="0" fontId="14" fillId="0" borderId="0" xfId="111" applyFont="1" applyFill="1" applyBorder="1" applyAlignment="1">
      <alignment horizontal="left" vertical="center"/>
    </xf>
    <xf numFmtId="0" fontId="12" fillId="0" borderId="0" xfId="111" applyFont="1" applyFill="1" applyAlignment="1">
      <alignment horizontal="justify" vertical="center"/>
    </xf>
    <xf numFmtId="0" fontId="12" fillId="0" borderId="0" xfId="111" applyFont="1"/>
    <xf numFmtId="0" fontId="15" fillId="0" borderId="9" xfId="111" applyFont="1" applyFill="1" applyBorder="1" applyAlignment="1">
      <alignment horizontal="center" vertical="justify"/>
    </xf>
    <xf numFmtId="0" fontId="13" fillId="0" borderId="21" xfId="111" applyFont="1" applyFill="1" applyBorder="1" applyAlignment="1">
      <alignment horizontal="center" vertical="justify"/>
    </xf>
    <xf numFmtId="0" fontId="2" fillId="0" borderId="0" xfId="111" applyAlignment="1">
      <alignment horizontal="center"/>
    </xf>
    <xf numFmtId="0" fontId="14" fillId="0" borderId="0" xfId="111" applyFont="1" applyFill="1" applyBorder="1" applyAlignment="1">
      <alignment horizontal="center" vertical="top"/>
    </xf>
    <xf numFmtId="0" fontId="12" fillId="0" borderId="0" xfId="111" applyFont="1" applyFill="1" applyAlignment="1">
      <alignment horizontal="center"/>
    </xf>
    <xf numFmtId="0" fontId="13" fillId="0" borderId="0" xfId="111" applyFont="1" applyFill="1" applyAlignment="1">
      <alignment horizontal="center"/>
    </xf>
    <xf numFmtId="0" fontId="16" fillId="0" borderId="18" xfId="111" applyFont="1" applyFill="1" applyBorder="1" applyAlignment="1">
      <alignment horizontal="center" vertical="center"/>
    </xf>
    <xf numFmtId="0" fontId="6" fillId="0" borderId="0" xfId="111" applyFont="1" applyFill="1" applyBorder="1" applyAlignment="1">
      <alignment vertical="center" wrapText="1"/>
    </xf>
    <xf numFmtId="0" fontId="15" fillId="0" borderId="10" xfId="111" applyFont="1" applyFill="1" applyBorder="1" applyAlignment="1">
      <alignment horizontal="center" vertical="center"/>
    </xf>
    <xf numFmtId="0" fontId="13" fillId="0" borderId="10" xfId="111" applyFont="1" applyFill="1" applyBorder="1" applyAlignment="1">
      <alignment horizontal="center" vertical="center"/>
    </xf>
    <xf numFmtId="0" fontId="15" fillId="8" borderId="20" xfId="111" applyFont="1" applyFill="1" applyBorder="1" applyAlignment="1">
      <alignment vertical="center"/>
    </xf>
    <xf numFmtId="0" fontId="15" fillId="8" borderId="20" xfId="111" applyFont="1" applyFill="1" applyBorder="1" applyAlignment="1">
      <alignment vertical="justify"/>
    </xf>
    <xf numFmtId="0" fontId="15" fillId="8" borderId="24" xfId="111" applyFont="1" applyFill="1" applyBorder="1" applyAlignment="1">
      <alignment horizontal="center" vertical="justify"/>
    </xf>
    <xf numFmtId="0" fontId="14" fillId="8" borderId="20" xfId="111" applyFont="1" applyFill="1" applyBorder="1" applyAlignment="1">
      <alignment horizontal="center" vertical="center" wrapText="1"/>
    </xf>
    <xf numFmtId="0" fontId="15" fillId="8" borderId="23" xfId="111" applyFont="1" applyFill="1" applyBorder="1" applyAlignment="1">
      <alignment vertical="justify"/>
    </xf>
    <xf numFmtId="0" fontId="2" fillId="8" borderId="0" xfId="111" applyFill="1"/>
    <xf numFmtId="0" fontId="16" fillId="8" borderId="23" xfId="111" applyFont="1" applyFill="1" applyBorder="1" applyAlignment="1">
      <alignment vertical="justify"/>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0" xfId="0" applyFont="1" applyFill="1" applyBorder="1" applyAlignment="1">
      <alignment horizontal="left" vertical="center"/>
    </xf>
    <xf numFmtId="0" fontId="8" fillId="0" borderId="20" xfId="0" applyFont="1" applyFill="1" applyBorder="1" applyAlignment="1">
      <alignment horizontal="center" vertical="center"/>
    </xf>
    <xf numFmtId="0" fontId="8" fillId="0" borderId="20" xfId="0" applyFont="1" applyFill="1" applyBorder="1" applyAlignment="1">
      <alignment horizontal="left" vertical="center" wrapText="1"/>
    </xf>
    <xf numFmtId="174" fontId="8" fillId="0" borderId="20" xfId="116" applyNumberFormat="1" applyFont="1" applyFill="1" applyBorder="1" applyAlignment="1">
      <alignment horizontal="center" vertical="center"/>
    </xf>
    <xf numFmtId="176" fontId="8" fillId="0" borderId="20" xfId="95" applyNumberFormat="1" applyFont="1" applyFill="1" applyBorder="1" applyAlignment="1">
      <alignment vertical="center"/>
    </xf>
    <xf numFmtId="0" fontId="5" fillId="0" borderId="27" xfId="109" applyNumberFormat="1" applyFont="1" applyBorder="1" applyAlignment="1">
      <alignment horizontal="center" vertical="center"/>
    </xf>
    <xf numFmtId="176" fontId="8" fillId="0" borderId="17" xfId="95" applyNumberFormat="1" applyFont="1" applyFill="1" applyBorder="1" applyAlignment="1">
      <alignment vertical="center"/>
    </xf>
    <xf numFmtId="0" fontId="8" fillId="0" borderId="17" xfId="0" applyFont="1" applyFill="1" applyBorder="1" applyAlignment="1">
      <alignment horizontal="left" vertical="center" wrapText="1"/>
    </xf>
    <xf numFmtId="168" fontId="8" fillId="0" borderId="20" xfId="0" applyNumberFormat="1" applyFont="1" applyFill="1" applyBorder="1" applyAlignment="1">
      <alignment vertical="center"/>
    </xf>
    <xf numFmtId="0" fontId="7" fillId="0" borderId="17" xfId="0" applyFont="1" applyFill="1" applyBorder="1" applyAlignment="1">
      <alignment horizontal="left" vertical="center"/>
    </xf>
    <xf numFmtId="168" fontId="7" fillId="0" borderId="17" xfId="0" applyNumberFormat="1" applyFont="1" applyFill="1" applyBorder="1" applyAlignment="1">
      <alignment vertical="center"/>
    </xf>
    <xf numFmtId="3" fontId="2" fillId="0" borderId="20" xfId="97" applyNumberFormat="1" applyFont="1" applyFill="1" applyBorder="1" applyAlignment="1">
      <alignment horizontal="right" vertical="center"/>
    </xf>
    <xf numFmtId="10" fontId="2" fillId="0" borderId="20" xfId="96" applyNumberFormat="1" applyFont="1" applyFill="1" applyBorder="1" applyAlignment="1">
      <alignment horizontal="center" vertical="center"/>
    </xf>
    <xf numFmtId="10" fontId="8" fillId="0" borderId="20" xfId="96" applyNumberFormat="1" applyFont="1" applyFill="1" applyBorder="1" applyAlignment="1">
      <alignment horizontal="center" vertical="center"/>
    </xf>
    <xf numFmtId="168" fontId="9" fillId="0" borderId="20" xfId="1" applyNumberFormat="1" applyFont="1" applyFill="1" applyBorder="1" applyAlignment="1">
      <alignment horizontal="left" vertical="center"/>
    </xf>
    <xf numFmtId="10" fontId="9" fillId="0" borderId="20" xfId="96" applyNumberFormat="1" applyFont="1" applyFill="1" applyBorder="1" applyAlignment="1">
      <alignment horizontal="center" vertical="center"/>
    </xf>
    <xf numFmtId="3" fontId="9" fillId="0" borderId="20" xfId="97" applyNumberFormat="1" applyFont="1" applyFill="1" applyBorder="1" applyAlignment="1">
      <alignment horizontal="left" vertical="center"/>
    </xf>
    <xf numFmtId="10" fontId="9" fillId="0" borderId="23" xfId="96" applyNumberFormat="1" applyFont="1" applyFill="1" applyBorder="1" applyAlignment="1">
      <alignment horizontal="center" vertical="center"/>
    </xf>
    <xf numFmtId="168" fontId="9" fillId="0" borderId="21" xfId="1" applyNumberFormat="1" applyFont="1" applyFill="1" applyBorder="1" applyAlignment="1">
      <alignment horizontal="left" vertical="center"/>
    </xf>
    <xf numFmtId="0" fontId="8" fillId="0" borderId="22" xfId="0" applyFont="1" applyFill="1" applyBorder="1" applyAlignment="1">
      <alignment horizontal="center" vertical="center"/>
    </xf>
    <xf numFmtId="9" fontId="8" fillId="0" borderId="20" xfId="96" applyFont="1" applyFill="1" applyBorder="1" applyAlignment="1">
      <alignment vertical="center"/>
    </xf>
    <xf numFmtId="0" fontId="7" fillId="0" borderId="20" xfId="0" applyFont="1" applyFill="1" applyBorder="1" applyAlignment="1">
      <alignment vertical="center"/>
    </xf>
    <xf numFmtId="0" fontId="7" fillId="0" borderId="17" xfId="0" applyFont="1" applyFill="1" applyBorder="1" applyAlignment="1">
      <alignment vertical="center"/>
    </xf>
    <xf numFmtId="10" fontId="7" fillId="0" borderId="17" xfId="96" applyNumberFormat="1" applyFont="1" applyFill="1" applyBorder="1" applyAlignment="1">
      <alignment vertical="center"/>
    </xf>
    <xf numFmtId="0" fontId="5" fillId="0" borderId="27" xfId="109" applyFont="1" applyBorder="1" applyAlignment="1">
      <alignment horizontal="center" vertical="center"/>
    </xf>
    <xf numFmtId="0" fontId="8" fillId="0" borderId="32" xfId="0" applyFont="1" applyFill="1" applyBorder="1" applyAlignment="1">
      <alignment horizontal="center" vertical="center"/>
    </xf>
    <xf numFmtId="0" fontId="8" fillId="0" borderId="32" xfId="0" applyFont="1" applyFill="1" applyBorder="1" applyAlignment="1">
      <alignment horizontal="left" vertical="center" wrapText="1"/>
    </xf>
    <xf numFmtId="174" fontId="8" fillId="0" borderId="32" xfId="116" applyNumberFormat="1" applyFont="1" applyFill="1" applyBorder="1" applyAlignment="1">
      <alignment horizontal="center" vertical="center"/>
    </xf>
    <xf numFmtId="176" fontId="8" fillId="0" borderId="32" xfId="95" applyNumberFormat="1" applyFont="1" applyFill="1" applyBorder="1" applyAlignment="1">
      <alignment vertical="center"/>
    </xf>
    <xf numFmtId="0" fontId="7" fillId="0" borderId="17" xfId="0" applyFont="1" applyFill="1" applyBorder="1" applyAlignment="1">
      <alignment horizontal="left" vertical="center" wrapText="1"/>
    </xf>
    <xf numFmtId="170" fontId="7" fillId="0" borderId="17" xfId="0" applyNumberFormat="1" applyFont="1" applyFill="1" applyBorder="1" applyAlignment="1">
      <alignment vertical="center"/>
    </xf>
    <xf numFmtId="170" fontId="8" fillId="0" borderId="20" xfId="0" applyNumberFormat="1" applyFont="1" applyFill="1" applyBorder="1" applyAlignment="1">
      <alignment vertical="center"/>
    </xf>
    <xf numFmtId="170" fontId="7" fillId="0" borderId="20" xfId="0" applyNumberFormat="1" applyFont="1" applyFill="1" applyBorder="1" applyAlignment="1">
      <alignment vertical="center"/>
    </xf>
    <xf numFmtId="9" fontId="8" fillId="0" borderId="17" xfId="96" applyFont="1" applyFill="1" applyBorder="1" applyAlignment="1">
      <alignment vertical="center"/>
    </xf>
    <xf numFmtId="170" fontId="20" fillId="7" borderId="27" xfId="109" applyNumberFormat="1" applyFont="1" applyFill="1" applyBorder="1" applyAlignment="1">
      <alignment horizontal="right" vertical="center"/>
    </xf>
    <xf numFmtId="179" fontId="8" fillId="0" borderId="17" xfId="96" applyNumberFormat="1" applyFont="1" applyFill="1" applyBorder="1" applyAlignment="1">
      <alignment vertical="center"/>
    </xf>
    <xf numFmtId="0" fontId="15" fillId="5" borderId="19" xfId="111" applyFont="1" applyFill="1" applyBorder="1" applyAlignment="1">
      <alignment horizontal="left" vertical="top"/>
    </xf>
    <xf numFmtId="0" fontId="14" fillId="0" borderId="32" xfId="111" applyFont="1" applyFill="1" applyBorder="1" applyAlignment="1">
      <alignment horizontal="center" vertical="center" wrapText="1"/>
    </xf>
    <xf numFmtId="0" fontId="32" fillId="0" borderId="0" xfId="0" applyFont="1" applyBorder="1"/>
    <xf numFmtId="0" fontId="17" fillId="0" borderId="0" xfId="0" applyFont="1" applyFill="1" applyBorder="1" applyAlignment="1">
      <alignment horizontal="center" vertical="center" wrapText="1"/>
    </xf>
    <xf numFmtId="0" fontId="9" fillId="0" borderId="13" xfId="0" applyFont="1" applyBorder="1"/>
    <xf numFmtId="0" fontId="32" fillId="0" borderId="7" xfId="0" applyFont="1" applyFill="1" applyBorder="1" applyAlignment="1">
      <alignment horizontal="center"/>
    </xf>
    <xf numFmtId="0" fontId="32" fillId="0" borderId="14" xfId="0" applyFont="1" applyFill="1" applyBorder="1"/>
    <xf numFmtId="0" fontId="32" fillId="0" borderId="0" xfId="0" applyFont="1"/>
    <xf numFmtId="0" fontId="32" fillId="0" borderId="13" xfId="0" applyFont="1" applyFill="1" applyBorder="1"/>
    <xf numFmtId="0" fontId="32" fillId="0" borderId="17" xfId="0" applyFont="1" applyBorder="1" applyAlignment="1">
      <alignment horizontal="center"/>
    </xf>
    <xf numFmtId="3" fontId="32" fillId="0" borderId="1" xfId="0" applyNumberFormat="1" applyFont="1" applyBorder="1"/>
    <xf numFmtId="0" fontId="32" fillId="0" borderId="0" xfId="0" applyFont="1" applyBorder="1" applyAlignment="1">
      <alignment horizontal="center"/>
    </xf>
    <xf numFmtId="0" fontId="2" fillId="0" borderId="7" xfId="0" applyFont="1" applyBorder="1" applyAlignment="1">
      <alignment vertical="center" wrapText="1"/>
    </xf>
    <xf numFmtId="0" fontId="2" fillId="0" borderId="7" xfId="0" applyFont="1" applyBorder="1" applyAlignment="1">
      <alignment vertical="center"/>
    </xf>
    <xf numFmtId="173" fontId="0" fillId="0" borderId="7" xfId="1" applyNumberFormat="1" applyFont="1" applyBorder="1" applyAlignment="1">
      <alignment vertical="center"/>
    </xf>
    <xf numFmtId="0" fontId="2" fillId="0" borderId="0" xfId="0" applyFont="1" applyBorder="1" applyAlignment="1">
      <alignment vertical="center"/>
    </xf>
    <xf numFmtId="173" fontId="0" fillId="0" borderId="0" xfId="1" applyNumberFormat="1" applyFont="1" applyBorder="1" applyAlignment="1">
      <alignment vertical="center"/>
    </xf>
    <xf numFmtId="0" fontId="2" fillId="0" borderId="31" xfId="0" applyFont="1" applyBorder="1"/>
    <xf numFmtId="172" fontId="0" fillId="0" borderId="31" xfId="1" applyNumberFormat="1" applyFont="1" applyBorder="1"/>
    <xf numFmtId="0" fontId="0" fillId="0" borderId="31" xfId="0" applyBorder="1" applyAlignment="1">
      <alignment horizontal="center"/>
    </xf>
    <xf numFmtId="3" fontId="0" fillId="0" borderId="31" xfId="0" applyNumberFormat="1" applyBorder="1"/>
    <xf numFmtId="168" fontId="32" fillId="0" borderId="1" xfId="1" applyNumberFormat="1" applyFont="1" applyBorder="1" applyAlignment="1">
      <alignment horizontal="right"/>
    </xf>
    <xf numFmtId="0" fontId="13" fillId="6" borderId="19" xfId="0" applyFont="1" applyFill="1" applyBorder="1" applyAlignment="1">
      <alignment horizontal="justify" vertical="center" wrapText="1"/>
    </xf>
    <xf numFmtId="0" fontId="13" fillId="6" borderId="32" xfId="111" applyFont="1" applyFill="1" applyBorder="1" applyAlignment="1">
      <alignment horizontal="left" vertical="center" wrapText="1"/>
    </xf>
    <xf numFmtId="0" fontId="33" fillId="6" borderId="19" xfId="111" applyFont="1" applyFill="1" applyBorder="1" applyAlignment="1">
      <alignment horizontal="left" vertical="center" wrapText="1"/>
    </xf>
    <xf numFmtId="0" fontId="13" fillId="6" borderId="32" xfId="0" applyFont="1" applyFill="1" applyBorder="1" applyAlignment="1">
      <alignment horizontal="justify" vertical="center" wrapText="1"/>
    </xf>
    <xf numFmtId="0" fontId="14" fillId="0" borderId="32" xfId="0" applyFont="1" applyFill="1" applyBorder="1" applyAlignment="1">
      <alignment horizontal="center" vertical="center"/>
    </xf>
    <xf numFmtId="9" fontId="0" fillId="0" borderId="0" xfId="110" applyNumberFormat="1" applyFont="1" applyBorder="1"/>
    <xf numFmtId="9" fontId="11" fillId="0" borderId="15" xfId="96" applyNumberFormat="1" applyFont="1" applyFill="1" applyBorder="1"/>
    <xf numFmtId="170" fontId="0" fillId="0" borderId="0" xfId="0" applyNumberFormat="1" applyFill="1" applyBorder="1"/>
    <xf numFmtId="180" fontId="11" fillId="0" borderId="15" xfId="96" applyNumberFormat="1" applyFont="1" applyFill="1" applyBorder="1"/>
    <xf numFmtId="0" fontId="6" fillId="0" borderId="0" xfId="111" applyFont="1" applyFill="1" applyBorder="1" applyAlignment="1">
      <alignment vertical="center" wrapText="1"/>
    </xf>
    <xf numFmtId="0" fontId="15" fillId="0" borderId="32" xfId="111" applyFont="1" applyFill="1" applyBorder="1" applyAlignment="1">
      <alignment horizontal="center" vertical="center" wrapText="1"/>
    </xf>
    <xf numFmtId="0" fontId="32" fillId="0" borderId="0" xfId="0" applyFont="1" applyBorder="1" applyAlignment="1">
      <alignment horizontal="center" vertical="center"/>
    </xf>
    <xf numFmtId="0" fontId="0" fillId="0" borderId="0" xfId="0" applyBorder="1" applyAlignment="1">
      <alignment horizontal="center" vertical="center"/>
    </xf>
    <xf numFmtId="0" fontId="15" fillId="0" borderId="0" xfId="111" applyFont="1" applyFill="1" applyAlignment="1">
      <alignment horizontal="center" vertical="justify"/>
    </xf>
    <xf numFmtId="0" fontId="8" fillId="0" borderId="0" xfId="0" applyFont="1" applyAlignment="1">
      <alignment horizontal="center" vertical="center"/>
    </xf>
    <xf numFmtId="0" fontId="0" fillId="0" borderId="0" xfId="0" applyAlignment="1">
      <alignment vertical="center"/>
    </xf>
    <xf numFmtId="0" fontId="14" fillId="0" borderId="0" xfId="111" applyFont="1" applyAlignment="1">
      <alignment vertical="center"/>
    </xf>
    <xf numFmtId="0" fontId="13" fillId="0" borderId="0" xfId="111" applyFont="1" applyAlignment="1">
      <alignment horizontal="justify" vertical="justify"/>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7" fillId="0" borderId="10" xfId="0" applyFont="1" applyBorder="1" applyAlignment="1">
      <alignment horizontal="center" vertical="center"/>
    </xf>
    <xf numFmtId="0" fontId="7" fillId="0" borderId="32" xfId="0" applyFont="1" applyBorder="1" applyAlignment="1">
      <alignment horizontal="left" vertical="center"/>
    </xf>
    <xf numFmtId="0" fontId="7" fillId="0" borderId="0" xfId="0" applyFont="1" applyAlignment="1">
      <alignment horizontal="center" vertical="center"/>
    </xf>
    <xf numFmtId="0" fontId="36" fillId="9" borderId="32" xfId="0" applyFont="1" applyFill="1" applyBorder="1" applyAlignment="1">
      <alignment horizontal="center" vertical="center" wrapText="1"/>
    </xf>
    <xf numFmtId="0" fontId="36" fillId="9" borderId="21" xfId="0" applyFont="1" applyFill="1" applyBorder="1" applyAlignment="1">
      <alignment vertical="center" wrapText="1"/>
    </xf>
    <xf numFmtId="0" fontId="36" fillId="9" borderId="31" xfId="0" applyFont="1" applyFill="1" applyBorder="1" applyAlignment="1">
      <alignment vertical="center" wrapText="1"/>
    </xf>
    <xf numFmtId="0" fontId="36" fillId="9" borderId="22" xfId="0" applyFont="1" applyFill="1" applyBorder="1" applyAlignment="1">
      <alignment vertical="center" wrapText="1"/>
    </xf>
    <xf numFmtId="176" fontId="8" fillId="0" borderId="35" xfId="95" applyNumberFormat="1" applyFont="1" applyFill="1" applyBorder="1" applyAlignment="1">
      <alignment vertical="center"/>
    </xf>
    <xf numFmtId="0" fontId="37" fillId="0" borderId="32" xfId="0" applyFont="1" applyBorder="1" applyAlignment="1">
      <alignment horizontal="center" vertical="center" wrapText="1"/>
    </xf>
    <xf numFmtId="0" fontId="37" fillId="0" borderId="32" xfId="0" applyFont="1" applyBorder="1" applyAlignment="1">
      <alignment horizontal="left" vertical="center" wrapText="1"/>
    </xf>
    <xf numFmtId="0" fontId="37" fillId="0" borderId="32" xfId="0" applyFont="1" applyBorder="1" applyAlignment="1">
      <alignment horizontal="right" vertical="center" wrapText="1"/>
    </xf>
    <xf numFmtId="42" fontId="37" fillId="0" borderId="32" xfId="123" applyFont="1" applyBorder="1" applyAlignment="1">
      <alignment horizontal="right" vertical="center" wrapText="1"/>
    </xf>
    <xf numFmtId="42" fontId="37" fillId="0" borderId="32" xfId="123" applyFont="1" applyFill="1" applyBorder="1" applyAlignment="1">
      <alignment horizontal="right" vertical="center" wrapText="1"/>
    </xf>
    <xf numFmtId="0" fontId="36" fillId="0" borderId="32" xfId="0" applyFont="1" applyBorder="1" applyAlignment="1">
      <alignment horizontal="left" vertical="center" wrapText="1"/>
    </xf>
    <xf numFmtId="0" fontId="36" fillId="0" borderId="32" xfId="0" applyFont="1" applyBorder="1" applyAlignment="1">
      <alignment horizontal="center" vertical="center" wrapText="1"/>
    </xf>
    <xf numFmtId="0" fontId="36" fillId="0" borderId="32" xfId="0" applyFont="1" applyBorder="1" applyAlignment="1">
      <alignment horizontal="right" vertical="center" wrapText="1"/>
    </xf>
    <xf numFmtId="42" fontId="36" fillId="0" borderId="32" xfId="123" applyFont="1" applyBorder="1" applyAlignment="1">
      <alignment horizontal="right" vertical="center" wrapText="1"/>
    </xf>
    <xf numFmtId="0" fontId="37" fillId="0" borderId="33" xfId="0" applyFont="1" applyBorder="1" applyAlignment="1">
      <alignment horizontal="center" vertical="center" wrapText="1"/>
    </xf>
    <xf numFmtId="42" fontId="37" fillId="0" borderId="33" xfId="123" applyFont="1" applyBorder="1" applyAlignment="1">
      <alignment horizontal="right" vertical="center" wrapText="1"/>
    </xf>
    <xf numFmtId="42" fontId="36" fillId="0" borderId="35" xfId="123" applyFont="1" applyBorder="1" applyAlignment="1">
      <alignment horizontal="right" vertical="center" wrapText="1"/>
    </xf>
    <xf numFmtId="0" fontId="36" fillId="9" borderId="36" xfId="0" applyFont="1" applyFill="1" applyBorder="1" applyAlignment="1">
      <alignment vertical="center" wrapText="1"/>
    </xf>
    <xf numFmtId="0" fontId="36" fillId="9" borderId="37" xfId="0" applyFont="1" applyFill="1" applyBorder="1" applyAlignment="1">
      <alignment vertical="center" wrapText="1"/>
    </xf>
    <xf numFmtId="0" fontId="36" fillId="9" borderId="38" xfId="0" applyFont="1" applyFill="1" applyBorder="1" applyAlignment="1">
      <alignment vertical="center" wrapText="1"/>
    </xf>
    <xf numFmtId="176" fontId="8" fillId="0" borderId="39" xfId="95" applyNumberFormat="1" applyFont="1" applyFill="1" applyBorder="1" applyAlignment="1">
      <alignment vertical="center"/>
    </xf>
    <xf numFmtId="0" fontId="5" fillId="0" borderId="40" xfId="109" applyFont="1" applyBorder="1" applyAlignment="1">
      <alignment horizontal="center" vertical="center"/>
    </xf>
    <xf numFmtId="0" fontId="36" fillId="0" borderId="41" xfId="0" applyFont="1" applyBorder="1" applyAlignment="1">
      <alignment horizontal="center" vertical="center" wrapText="1"/>
    </xf>
    <xf numFmtId="0" fontId="36" fillId="0" borderId="42" xfId="0" applyFont="1" applyBorder="1" applyAlignment="1">
      <alignment vertical="center" wrapText="1"/>
    </xf>
    <xf numFmtId="0" fontId="36" fillId="0" borderId="43" xfId="0" applyFont="1" applyBorder="1" applyAlignment="1">
      <alignment vertical="center" wrapText="1"/>
    </xf>
    <xf numFmtId="0" fontId="36" fillId="0" borderId="44" xfId="0" applyFont="1" applyBorder="1" applyAlignment="1">
      <alignment vertical="center" wrapText="1"/>
    </xf>
    <xf numFmtId="0" fontId="37" fillId="0" borderId="45" xfId="0" applyFont="1" applyBorder="1" applyAlignment="1">
      <alignment horizontal="center" vertical="center" wrapText="1"/>
    </xf>
    <xf numFmtId="42" fontId="37" fillId="0" borderId="45" xfId="123" applyFont="1" applyBorder="1" applyAlignment="1">
      <alignment horizontal="right" vertical="center" wrapText="1"/>
    </xf>
    <xf numFmtId="176" fontId="8" fillId="0" borderId="46" xfId="95" applyNumberFormat="1" applyFont="1" applyFill="1" applyBorder="1" applyAlignment="1">
      <alignment vertical="center"/>
    </xf>
    <xf numFmtId="0" fontId="5" fillId="0" borderId="47" xfId="109" applyFont="1" applyBorder="1" applyAlignment="1">
      <alignment horizontal="center" vertical="center"/>
    </xf>
    <xf numFmtId="0" fontId="37" fillId="0" borderId="48" xfId="0" applyFont="1" applyBorder="1" applyAlignment="1">
      <alignment horizontal="center" vertical="center" wrapText="1"/>
    </xf>
    <xf numFmtId="0" fontId="37" fillId="0" borderId="0" xfId="0" applyFont="1" applyAlignment="1">
      <alignment horizontal="center" vertical="center" wrapText="1"/>
    </xf>
    <xf numFmtId="0" fontId="37" fillId="0" borderId="46" xfId="0" applyFont="1" applyBorder="1" applyAlignment="1">
      <alignment horizontal="left" vertical="center" wrapText="1"/>
    </xf>
    <xf numFmtId="0" fontId="37" fillId="0" borderId="49" xfId="0" applyFont="1" applyBorder="1" applyAlignment="1">
      <alignment horizontal="center" vertical="center" wrapText="1"/>
    </xf>
    <xf numFmtId="42" fontId="37" fillId="0" borderId="49" xfId="123" applyFont="1" applyBorder="1" applyAlignment="1">
      <alignment horizontal="right" vertical="center" wrapText="1"/>
    </xf>
    <xf numFmtId="176" fontId="8" fillId="0" borderId="50" xfId="95" applyNumberFormat="1" applyFont="1" applyFill="1" applyBorder="1" applyAlignment="1">
      <alignment vertical="center"/>
    </xf>
    <xf numFmtId="0" fontId="5" fillId="0" borderId="51" xfId="109" applyFont="1" applyBorder="1" applyAlignment="1">
      <alignment horizontal="center" vertical="center"/>
    </xf>
    <xf numFmtId="42" fontId="37" fillId="0" borderId="52" xfId="123" applyFont="1" applyBorder="1" applyAlignment="1">
      <alignment horizontal="right" vertical="center" wrapText="1"/>
    </xf>
    <xf numFmtId="176" fontId="8" fillId="0" borderId="53" xfId="95" applyNumberFormat="1" applyFont="1" applyFill="1" applyBorder="1" applyAlignment="1">
      <alignment vertical="center"/>
    </xf>
    <xf numFmtId="0" fontId="5" fillId="0" borderId="54" xfId="109" applyFont="1" applyBorder="1" applyAlignment="1">
      <alignment horizontal="center" vertical="center"/>
    </xf>
    <xf numFmtId="0" fontId="37" fillId="0" borderId="55"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57" xfId="0" applyFont="1" applyBorder="1" applyAlignment="1">
      <alignment horizontal="center" vertical="center" wrapText="1"/>
    </xf>
    <xf numFmtId="42" fontId="37" fillId="0" borderId="57" xfId="123" applyFont="1" applyBorder="1" applyAlignment="1">
      <alignment horizontal="right" vertical="center" wrapText="1"/>
    </xf>
    <xf numFmtId="42" fontId="37" fillId="0" borderId="58" xfId="123" applyFont="1" applyBorder="1" applyAlignment="1">
      <alignment horizontal="right" vertical="center" wrapText="1"/>
    </xf>
    <xf numFmtId="0" fontId="37" fillId="0" borderId="59" xfId="0" applyFont="1" applyBorder="1" applyAlignment="1">
      <alignment horizontal="center" vertical="center" wrapText="1"/>
    </xf>
    <xf numFmtId="0" fontId="37" fillId="0" borderId="60" xfId="0" applyFont="1" applyBorder="1" applyAlignment="1">
      <alignment horizontal="center" vertical="center" wrapText="1"/>
    </xf>
    <xf numFmtId="0" fontId="37" fillId="0" borderId="58" xfId="0" applyFont="1" applyBorder="1" applyAlignment="1">
      <alignment horizontal="center" vertical="center" wrapText="1"/>
    </xf>
    <xf numFmtId="42" fontId="37" fillId="0" borderId="48" xfId="123" applyFont="1" applyBorder="1" applyAlignment="1">
      <alignment horizontal="right" vertical="center" wrapText="1"/>
    </xf>
    <xf numFmtId="176" fontId="8" fillId="0" borderId="61" xfId="95" applyNumberFormat="1" applyFont="1" applyFill="1" applyBorder="1" applyAlignment="1">
      <alignment vertical="center"/>
    </xf>
    <xf numFmtId="0" fontId="5" fillId="0" borderId="62" xfId="109" applyFont="1" applyBorder="1" applyAlignment="1">
      <alignment horizontal="center" vertical="center"/>
    </xf>
    <xf numFmtId="0" fontId="37" fillId="0" borderId="61" xfId="0" applyFont="1" applyBorder="1" applyAlignment="1">
      <alignment horizontal="left" vertical="center" wrapText="1"/>
    </xf>
    <xf numFmtId="0" fontId="37" fillId="0" borderId="63" xfId="0" applyFont="1" applyBorder="1" applyAlignment="1">
      <alignment horizontal="center" vertical="center" wrapText="1"/>
    </xf>
    <xf numFmtId="0" fontId="37" fillId="0" borderId="64" xfId="0" applyFont="1" applyBorder="1" applyAlignment="1">
      <alignment horizontal="center" vertical="center" wrapText="1"/>
    </xf>
    <xf numFmtId="0" fontId="37" fillId="0" borderId="65" xfId="0" applyFont="1" applyBorder="1" applyAlignment="1">
      <alignment horizontal="center" vertical="center" wrapText="1"/>
    </xf>
    <xf numFmtId="42" fontId="37" fillId="0" borderId="65" xfId="123" applyFont="1" applyBorder="1" applyAlignment="1">
      <alignment horizontal="right" vertical="center" wrapText="1"/>
    </xf>
    <xf numFmtId="0" fontId="37" fillId="0" borderId="66" xfId="0" applyFont="1" applyBorder="1" applyAlignment="1">
      <alignment horizontal="center" vertical="center" wrapText="1"/>
    </xf>
    <xf numFmtId="0" fontId="37" fillId="0" borderId="67" xfId="0" applyFont="1" applyBorder="1" applyAlignment="1">
      <alignment horizontal="center" vertical="center" wrapText="1"/>
    </xf>
    <xf numFmtId="0" fontId="36" fillId="0" borderId="66"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45" xfId="0" applyFont="1" applyBorder="1" applyAlignment="1">
      <alignment horizontal="left" vertical="center" wrapText="1"/>
    </xf>
    <xf numFmtId="0" fontId="36" fillId="0" borderId="45" xfId="0" applyFont="1" applyBorder="1" applyAlignment="1">
      <alignment horizontal="center" vertical="center" wrapText="1"/>
    </xf>
    <xf numFmtId="42" fontId="36" fillId="0" borderId="45" xfId="123" applyFont="1" applyFill="1" applyBorder="1" applyAlignment="1">
      <alignment horizontal="right" vertical="center" wrapText="1"/>
    </xf>
    <xf numFmtId="0" fontId="36" fillId="0" borderId="48" xfId="0" applyFont="1" applyBorder="1" applyAlignment="1">
      <alignment horizontal="center" vertical="center" wrapText="1"/>
    </xf>
    <xf numFmtId="0" fontId="36" fillId="0" borderId="69" xfId="0" applyFont="1" applyBorder="1" applyAlignment="1">
      <alignment vertical="center" wrapText="1"/>
    </xf>
    <xf numFmtId="0" fontId="36" fillId="0" borderId="70" xfId="0" applyFont="1" applyBorder="1" applyAlignment="1">
      <alignment vertical="center" wrapText="1"/>
    </xf>
    <xf numFmtId="0" fontId="36" fillId="0" borderId="71" xfId="0" applyFont="1" applyBorder="1" applyAlignment="1">
      <alignment vertical="center" wrapText="1"/>
    </xf>
    <xf numFmtId="0" fontId="36" fillId="0" borderId="72" xfId="0" applyFont="1" applyBorder="1" applyAlignment="1">
      <alignment vertical="center" wrapText="1"/>
    </xf>
    <xf numFmtId="176" fontId="8" fillId="0" borderId="73" xfId="95" applyNumberFormat="1" applyFont="1" applyFill="1" applyBorder="1" applyAlignment="1">
      <alignment vertical="center"/>
    </xf>
    <xf numFmtId="0" fontId="5" fillId="0" borderId="74" xfId="109" applyFont="1" applyBorder="1" applyAlignment="1">
      <alignment horizontal="center" vertical="center"/>
    </xf>
    <xf numFmtId="2" fontId="37" fillId="0" borderId="32" xfId="0" applyNumberFormat="1" applyFont="1" applyBorder="1" applyAlignment="1">
      <alignment horizontal="center" vertical="center" wrapText="1"/>
    </xf>
    <xf numFmtId="42" fontId="36" fillId="0" borderId="32" xfId="123" applyFont="1" applyFill="1" applyBorder="1" applyAlignment="1">
      <alignment horizontal="right" vertical="center" wrapText="1"/>
    </xf>
    <xf numFmtId="0" fontId="36" fillId="0" borderId="75" xfId="0" applyFont="1" applyBorder="1" applyAlignment="1">
      <alignment horizontal="center" vertical="center" wrapText="1"/>
    </xf>
    <xf numFmtId="0" fontId="36" fillId="0" borderId="76" xfId="0" applyFont="1" applyBorder="1" applyAlignment="1">
      <alignment vertical="center" wrapText="1"/>
    </xf>
    <xf numFmtId="0" fontId="36" fillId="0" borderId="75" xfId="0" applyFont="1" applyBorder="1" applyAlignment="1">
      <alignment vertical="center" wrapText="1"/>
    </xf>
    <xf numFmtId="176" fontId="8" fillId="0" borderId="77" xfId="95" applyNumberFormat="1" applyFont="1" applyFill="1" applyBorder="1" applyAlignment="1">
      <alignment vertical="center"/>
    </xf>
    <xf numFmtId="0" fontId="5" fillId="0" borderId="78" xfId="109" applyFont="1" applyBorder="1" applyAlignment="1">
      <alignment horizontal="center" vertical="center"/>
    </xf>
    <xf numFmtId="0" fontId="36" fillId="0" borderId="79" xfId="0" applyFont="1" applyBorder="1" applyAlignment="1">
      <alignment vertical="center" wrapText="1"/>
    </xf>
    <xf numFmtId="176" fontId="8" fillId="0" borderId="80" xfId="95" applyNumberFormat="1" applyFont="1" applyFill="1" applyBorder="1" applyAlignment="1">
      <alignment vertical="center"/>
    </xf>
    <xf numFmtId="0" fontId="5" fillId="0" borderId="81" xfId="109" applyFont="1" applyBorder="1" applyAlignment="1">
      <alignment horizontal="center" vertical="center"/>
    </xf>
    <xf numFmtId="0" fontId="37" fillId="0" borderId="82" xfId="0" applyFont="1" applyBorder="1" applyAlignment="1">
      <alignment horizontal="center" vertical="center" wrapText="1"/>
    </xf>
    <xf numFmtId="0" fontId="37" fillId="0" borderId="83" xfId="0" applyFont="1" applyBorder="1" applyAlignment="1">
      <alignment horizontal="center" vertical="center" wrapText="1"/>
    </xf>
    <xf numFmtId="0" fontId="37" fillId="0" borderId="84" xfId="0" applyFont="1" applyBorder="1" applyAlignment="1">
      <alignment horizontal="center" vertical="center" wrapText="1"/>
    </xf>
    <xf numFmtId="42" fontId="37" fillId="0" borderId="84" xfId="123" applyFont="1" applyBorder="1" applyAlignment="1">
      <alignment horizontal="right" vertical="center" wrapText="1"/>
    </xf>
    <xf numFmtId="0" fontId="37" fillId="0" borderId="80" xfId="0" applyFont="1" applyBorder="1" applyAlignment="1">
      <alignment horizontal="left" vertical="center" wrapText="1"/>
    </xf>
    <xf numFmtId="176" fontId="8" fillId="0" borderId="85" xfId="95" applyNumberFormat="1" applyFont="1" applyFill="1" applyBorder="1" applyAlignment="1">
      <alignment vertical="center"/>
    </xf>
    <xf numFmtId="0" fontId="5" fillId="0" borderId="86" xfId="109" applyFont="1" applyBorder="1" applyAlignment="1">
      <alignment horizontal="center" vertical="center"/>
    </xf>
    <xf numFmtId="0" fontId="36" fillId="0" borderId="87" xfId="0" applyFont="1" applyBorder="1" applyAlignment="1">
      <alignment horizontal="center" vertical="center" wrapText="1"/>
    </xf>
    <xf numFmtId="42" fontId="36" fillId="0" borderId="85" xfId="123" applyFont="1" applyFill="1" applyBorder="1" applyAlignment="1">
      <alignment horizontal="right" vertical="center" wrapText="1"/>
    </xf>
    <xf numFmtId="0" fontId="37" fillId="0" borderId="87" xfId="0" applyFont="1" applyBorder="1" applyAlignment="1">
      <alignment horizontal="center" vertical="center" wrapText="1"/>
    </xf>
    <xf numFmtId="181" fontId="36" fillId="0" borderId="32" xfId="0" applyNumberFormat="1" applyFont="1" applyBorder="1" applyAlignment="1">
      <alignment horizontal="right" vertical="center" wrapText="1"/>
    </xf>
    <xf numFmtId="181" fontId="36" fillId="0" borderId="85" xfId="0" applyNumberFormat="1" applyFont="1" applyBorder="1" applyAlignment="1">
      <alignment horizontal="right" vertical="center" wrapText="1"/>
    </xf>
    <xf numFmtId="0" fontId="37" fillId="0" borderId="85" xfId="0" applyFont="1" applyBorder="1" applyAlignment="1">
      <alignment horizontal="left" vertical="center" wrapText="1"/>
    </xf>
    <xf numFmtId="0" fontId="36" fillId="0" borderId="85" xfId="0" applyFont="1" applyBorder="1" applyAlignment="1">
      <alignment horizontal="center" vertical="center" wrapText="1"/>
    </xf>
    <xf numFmtId="0" fontId="36" fillId="0" borderId="85" xfId="0" applyFont="1" applyBorder="1" applyAlignment="1">
      <alignment horizontal="right" vertical="center" wrapText="1"/>
    </xf>
    <xf numFmtId="0" fontId="8" fillId="0" borderId="85" xfId="0" applyFont="1" applyBorder="1" applyAlignment="1">
      <alignment horizontal="center" vertical="center"/>
    </xf>
    <xf numFmtId="0" fontId="7" fillId="0" borderId="85" xfId="0" applyFont="1" applyBorder="1" applyAlignment="1">
      <alignment horizontal="left" vertical="center"/>
    </xf>
    <xf numFmtId="168" fontId="8" fillId="0" borderId="85" xfId="0" applyNumberFormat="1" applyFont="1" applyBorder="1" applyAlignment="1">
      <alignment vertical="center"/>
    </xf>
    <xf numFmtId="42" fontId="36" fillId="2" borderId="85" xfId="123" applyFont="1" applyFill="1" applyBorder="1" applyAlignment="1">
      <alignment horizontal="right" vertical="center" wrapText="1"/>
    </xf>
    <xf numFmtId="0" fontId="37" fillId="0" borderId="85" xfId="0" applyFont="1" applyBorder="1" applyAlignment="1">
      <alignment horizontal="right" vertical="center" wrapText="1"/>
    </xf>
    <xf numFmtId="10" fontId="9" fillId="0" borderId="85" xfId="96" applyNumberFormat="1" applyFont="1" applyFill="1" applyBorder="1" applyAlignment="1">
      <alignment horizontal="center" vertical="center"/>
    </xf>
    <xf numFmtId="170" fontId="8" fillId="0" borderId="85" xfId="0" applyNumberFormat="1" applyFont="1" applyBorder="1" applyAlignment="1">
      <alignment vertical="center"/>
    </xf>
    <xf numFmtId="3" fontId="9" fillId="0" borderId="85" xfId="97" applyNumberFormat="1" applyFont="1" applyBorder="1" applyAlignment="1">
      <alignment horizontal="left" vertical="center"/>
    </xf>
    <xf numFmtId="10" fontId="9" fillId="0" borderId="88" xfId="96" applyNumberFormat="1" applyFont="1" applyFill="1" applyBorder="1" applyAlignment="1">
      <alignment horizontal="center" vertical="center"/>
    </xf>
    <xf numFmtId="0" fontId="8" fillId="0" borderId="89" xfId="0" applyFont="1" applyBorder="1" applyAlignment="1">
      <alignment horizontal="center" vertical="center"/>
    </xf>
    <xf numFmtId="168" fontId="9" fillId="0" borderId="89" xfId="1" applyNumberFormat="1" applyFont="1" applyFill="1" applyBorder="1" applyAlignment="1">
      <alignment horizontal="left" vertical="center"/>
    </xf>
    <xf numFmtId="0" fontId="8" fillId="0" borderId="90" xfId="0" applyFont="1" applyBorder="1" applyAlignment="1">
      <alignment horizontal="center" vertical="center"/>
    </xf>
    <xf numFmtId="170" fontId="7" fillId="0" borderId="85" xfId="0" applyNumberFormat="1" applyFont="1" applyBorder="1" applyAlignment="1">
      <alignment vertical="center"/>
    </xf>
    <xf numFmtId="9" fontId="8" fillId="0" borderId="85" xfId="96" applyFont="1" applyFill="1" applyBorder="1" applyAlignment="1">
      <alignment vertical="center"/>
    </xf>
    <xf numFmtId="0" fontId="7" fillId="0" borderId="85" xfId="0" applyFont="1" applyBorder="1" applyAlignment="1">
      <alignment vertical="center"/>
    </xf>
    <xf numFmtId="170" fontId="20" fillId="7" borderId="86" xfId="109" applyNumberFormat="1" applyFont="1" applyFill="1" applyBorder="1" applyAlignment="1">
      <alignment horizontal="right" vertical="center"/>
    </xf>
    <xf numFmtId="10" fontId="7" fillId="0" borderId="85" xfId="96" applyNumberFormat="1" applyFont="1" applyFill="1" applyBorder="1" applyAlignment="1">
      <alignment vertical="center"/>
    </xf>
    <xf numFmtId="179" fontId="8" fillId="0" borderId="85" xfId="96" applyNumberFormat="1" applyFont="1" applyFill="1" applyBorder="1" applyAlignment="1">
      <alignment vertical="center"/>
    </xf>
    <xf numFmtId="0" fontId="15" fillId="0" borderId="0" xfId="111" applyFont="1" applyAlignment="1">
      <alignment horizontal="justify" vertical="justify"/>
    </xf>
    <xf numFmtId="0" fontId="14" fillId="0" borderId="0" xfId="111" applyFont="1" applyAlignment="1">
      <alignment horizontal="left" vertical="top"/>
    </xf>
    <xf numFmtId="0" fontId="14" fillId="0" borderId="0" xfId="111" applyFont="1"/>
    <xf numFmtId="2" fontId="37" fillId="0" borderId="32" xfId="0" applyNumberFormat="1" applyFont="1" applyBorder="1" applyAlignment="1">
      <alignment horizontal="right" vertical="center" wrapText="1"/>
    </xf>
    <xf numFmtId="2" fontId="36" fillId="0" borderId="32" xfId="0" applyNumberFormat="1" applyFont="1" applyBorder="1" applyAlignment="1">
      <alignment horizontal="right" vertical="center" wrapText="1"/>
    </xf>
    <xf numFmtId="2" fontId="36" fillId="9" borderId="31" xfId="0" applyNumberFormat="1" applyFont="1" applyFill="1" applyBorder="1" applyAlignment="1">
      <alignment vertical="center" wrapText="1"/>
    </xf>
    <xf numFmtId="2" fontId="37" fillId="0" borderId="33" xfId="0" applyNumberFormat="1" applyFont="1" applyBorder="1" applyAlignment="1">
      <alignment horizontal="right" vertical="center" wrapText="1"/>
    </xf>
    <xf numFmtId="2" fontId="36" fillId="9" borderId="37" xfId="0" applyNumberFormat="1" applyFont="1" applyFill="1" applyBorder="1" applyAlignment="1">
      <alignment vertical="center" wrapText="1"/>
    </xf>
    <xf numFmtId="2" fontId="36" fillId="0" borderId="43" xfId="0" applyNumberFormat="1" applyFont="1" applyBorder="1" applyAlignment="1">
      <alignment vertical="center" wrapText="1"/>
    </xf>
    <xf numFmtId="2" fontId="37" fillId="0" borderId="45" xfId="0" applyNumberFormat="1" applyFont="1" applyBorder="1" applyAlignment="1">
      <alignment horizontal="right" vertical="center" wrapText="1"/>
    </xf>
    <xf numFmtId="2" fontId="37" fillId="0" borderId="49" xfId="0" applyNumberFormat="1" applyFont="1" applyBorder="1" applyAlignment="1">
      <alignment horizontal="right" vertical="center" wrapText="1"/>
    </xf>
    <xf numFmtId="2" fontId="37" fillId="0" borderId="57" xfId="0" applyNumberFormat="1" applyFont="1" applyBorder="1" applyAlignment="1">
      <alignment horizontal="right" vertical="center" wrapText="1"/>
    </xf>
    <xf numFmtId="2" fontId="37" fillId="0" borderId="58" xfId="0" applyNumberFormat="1" applyFont="1" applyBorder="1" applyAlignment="1">
      <alignment horizontal="right" vertical="center" wrapText="1"/>
    </xf>
    <xf numFmtId="2" fontId="37" fillId="0" borderId="48" xfId="0" applyNumberFormat="1" applyFont="1" applyBorder="1" applyAlignment="1">
      <alignment horizontal="right" vertical="center" wrapText="1"/>
    </xf>
    <xf numFmtId="2" fontId="37" fillId="0" borderId="65" xfId="0" applyNumberFormat="1" applyFont="1" applyBorder="1" applyAlignment="1">
      <alignment horizontal="right" vertical="center" wrapText="1"/>
    </xf>
    <xf numFmtId="2" fontId="36" fillId="0" borderId="45" xfId="0" applyNumberFormat="1" applyFont="1" applyBorder="1" applyAlignment="1">
      <alignment horizontal="right" vertical="center" wrapText="1"/>
    </xf>
    <xf numFmtId="2" fontId="36" fillId="0" borderId="70" xfId="0" applyNumberFormat="1" applyFont="1" applyBorder="1" applyAlignment="1">
      <alignment vertical="center" wrapText="1"/>
    </xf>
    <xf numFmtId="2" fontId="36" fillId="0" borderId="76" xfId="0" applyNumberFormat="1" applyFont="1" applyBorder="1" applyAlignment="1">
      <alignment vertical="center" wrapText="1"/>
    </xf>
    <xf numFmtId="2" fontId="37" fillId="0" borderId="84" xfId="0" applyNumberFormat="1" applyFont="1" applyBorder="1" applyAlignment="1">
      <alignment horizontal="right" vertical="center" wrapText="1"/>
    </xf>
    <xf numFmtId="0" fontId="13" fillId="6" borderId="33" xfId="111" applyFont="1" applyFill="1" applyBorder="1" applyAlignment="1">
      <alignment horizontal="left" vertical="top" wrapText="1"/>
    </xf>
    <xf numFmtId="0" fontId="14" fillId="0" borderId="85" xfId="111" applyFont="1" applyFill="1" applyBorder="1" applyAlignment="1">
      <alignment horizontal="center" vertical="center" wrapText="1"/>
    </xf>
    <xf numFmtId="0" fontId="13" fillId="6" borderId="85" xfId="111" applyFont="1" applyFill="1" applyBorder="1" applyAlignment="1">
      <alignment horizontal="left" vertical="top" wrapText="1"/>
    </xf>
    <xf numFmtId="0" fontId="16" fillId="0" borderId="88" xfId="111" applyFont="1" applyFill="1" applyBorder="1" applyAlignment="1">
      <alignment horizontal="center" vertical="center"/>
    </xf>
    <xf numFmtId="0" fontId="21" fillId="0" borderId="14" xfId="0" applyFont="1" applyBorder="1"/>
    <xf numFmtId="0" fontId="21" fillId="0" borderId="0" xfId="0" applyFont="1" applyBorder="1"/>
    <xf numFmtId="0" fontId="21" fillId="0" borderId="13" xfId="0" applyFont="1" applyFill="1" applyBorder="1"/>
    <xf numFmtId="0" fontId="21" fillId="0" borderId="7" xfId="0" applyFont="1" applyFill="1" applyBorder="1" applyAlignment="1">
      <alignment horizontal="center"/>
    </xf>
    <xf numFmtId="0" fontId="21" fillId="0" borderId="14" xfId="0" applyFont="1" applyFill="1" applyBorder="1"/>
    <xf numFmtId="0" fontId="21" fillId="0" borderId="0" xfId="0" applyFont="1"/>
    <xf numFmtId="0" fontId="21" fillId="0" borderId="0" xfId="0" applyFont="1" applyFill="1" applyBorder="1"/>
    <xf numFmtId="0" fontId="0" fillId="0" borderId="0" xfId="0" applyBorder="1" applyAlignment="1">
      <alignment vertical="center"/>
    </xf>
    <xf numFmtId="0" fontId="0" fillId="0" borderId="17" xfId="0" applyBorder="1" applyAlignment="1">
      <alignment horizontal="center" vertical="center"/>
    </xf>
    <xf numFmtId="3" fontId="0" fillId="0" borderId="17" xfId="0" applyNumberFormat="1" applyBorder="1" applyAlignment="1">
      <alignment vertical="center"/>
    </xf>
    <xf numFmtId="9" fontId="0" fillId="0" borderId="1" xfId="96" applyFont="1" applyBorder="1" applyAlignment="1">
      <alignment vertical="center"/>
    </xf>
    <xf numFmtId="0" fontId="13" fillId="6" borderId="19" xfId="111" applyFont="1" applyFill="1" applyBorder="1" applyAlignment="1">
      <alignment horizontal="justify" vertical="top" wrapText="1"/>
    </xf>
    <xf numFmtId="0" fontId="13" fillId="6" borderId="95" xfId="111" applyFont="1" applyFill="1" applyBorder="1" applyAlignment="1">
      <alignment horizontal="justify" vertical="top" wrapText="1"/>
    </xf>
    <xf numFmtId="0" fontId="14" fillId="0" borderId="95" xfId="111" applyFont="1" applyFill="1" applyBorder="1" applyAlignment="1">
      <alignment horizontal="center" vertical="center" wrapText="1"/>
    </xf>
    <xf numFmtId="0" fontId="15" fillId="0" borderId="95" xfId="111" applyFont="1" applyFill="1" applyBorder="1" applyAlignment="1">
      <alignment horizontal="center" vertical="center" wrapText="1"/>
    </xf>
    <xf numFmtId="0" fontId="14" fillId="0" borderId="95" xfId="0" applyFont="1" applyFill="1" applyBorder="1" applyAlignment="1">
      <alignment horizontal="center" vertical="center"/>
    </xf>
    <xf numFmtId="0" fontId="13" fillId="4" borderId="20" xfId="111" applyFont="1" applyFill="1" applyBorder="1" applyAlignment="1">
      <alignment horizontal="left" vertical="top" wrapText="1"/>
    </xf>
    <xf numFmtId="0" fontId="13" fillId="4" borderId="95" xfId="111" applyFont="1" applyFill="1" applyBorder="1" applyAlignment="1">
      <alignment horizontal="left" vertical="top" wrapText="1"/>
    </xf>
    <xf numFmtId="0" fontId="15" fillId="0" borderId="88" xfId="111" applyFont="1" applyFill="1" applyBorder="1" applyAlignment="1">
      <alignment horizontal="center" vertical="center" wrapText="1"/>
    </xf>
    <xf numFmtId="0" fontId="14" fillId="0" borderId="88" xfId="111" applyFont="1" applyFill="1" applyBorder="1" applyAlignment="1">
      <alignment horizontal="center" vertical="center" wrapText="1"/>
    </xf>
    <xf numFmtId="0" fontId="14" fillId="0" borderId="88" xfId="0" applyFont="1" applyFill="1" applyBorder="1" applyAlignment="1">
      <alignment horizontal="center" vertical="center"/>
    </xf>
    <xf numFmtId="0" fontId="13" fillId="4" borderId="12" xfId="111" applyFont="1" applyFill="1" applyBorder="1" applyAlignment="1">
      <alignment horizontal="left" vertical="top" wrapText="1"/>
    </xf>
    <xf numFmtId="0" fontId="15" fillId="8" borderId="95" xfId="111" applyFont="1" applyFill="1" applyBorder="1" applyAlignment="1">
      <alignment horizontal="center" vertical="justify"/>
    </xf>
    <xf numFmtId="0" fontId="14" fillId="8" borderId="95" xfId="111" applyFont="1" applyFill="1" applyBorder="1" applyAlignment="1">
      <alignment horizontal="center" vertical="center" wrapText="1"/>
    </xf>
    <xf numFmtId="0" fontId="15" fillId="8" borderId="95" xfId="111" applyFont="1" applyFill="1" applyBorder="1" applyAlignment="1">
      <alignment vertical="justify"/>
    </xf>
    <xf numFmtId="0" fontId="16" fillId="8" borderId="95" xfId="111" applyFont="1" applyFill="1" applyBorder="1" applyAlignment="1">
      <alignment vertical="justify"/>
    </xf>
    <xf numFmtId="182" fontId="14" fillId="3" borderId="12" xfId="111" applyNumberFormat="1" applyFont="1" applyFill="1" applyBorder="1" applyAlignment="1">
      <alignment horizontal="center" vertical="center"/>
    </xf>
    <xf numFmtId="0" fontId="1" fillId="0" borderId="0" xfId="119"/>
    <xf numFmtId="0" fontId="1" fillId="0" borderId="0" xfId="119" applyAlignment="1">
      <alignment vertical="center"/>
    </xf>
    <xf numFmtId="0" fontId="32" fillId="0" borderId="0" xfId="119" applyFont="1" applyBorder="1" applyAlignment="1">
      <alignment horizontal="center" vertical="center"/>
    </xf>
    <xf numFmtId="183" fontId="32" fillId="0" borderId="0" xfId="119" applyNumberFormat="1" applyFont="1" applyBorder="1" applyAlignment="1">
      <alignment horizontal="center" vertical="center"/>
    </xf>
    <xf numFmtId="0" fontId="32" fillId="0" borderId="0" xfId="119" applyFont="1" applyBorder="1" applyAlignment="1">
      <alignment horizontal="center" wrapText="1"/>
    </xf>
    <xf numFmtId="10" fontId="32" fillId="0" borderId="0" xfId="119" applyNumberFormat="1" applyFont="1" applyBorder="1" applyAlignment="1">
      <alignment horizontal="center" vertical="center"/>
    </xf>
    <xf numFmtId="0" fontId="1" fillId="0" borderId="0" xfId="119" applyBorder="1"/>
    <xf numFmtId="0" fontId="32" fillId="0" borderId="88" xfId="119" applyFont="1" applyBorder="1" applyAlignment="1">
      <alignment horizontal="center" vertical="center"/>
    </xf>
    <xf numFmtId="0" fontId="1" fillId="0" borderId="0" xfId="119" applyFont="1"/>
    <xf numFmtId="0" fontId="44" fillId="0" borderId="95" xfId="119" applyFont="1" applyBorder="1" applyAlignment="1">
      <alignment horizontal="center"/>
    </xf>
    <xf numFmtId="0" fontId="32" fillId="0" borderId="0" xfId="119" applyFont="1" applyBorder="1" applyAlignment="1">
      <alignment horizontal="left" vertical="center"/>
    </xf>
    <xf numFmtId="0" fontId="32" fillId="0" borderId="0" xfId="119" applyFont="1" applyBorder="1" applyAlignment="1">
      <alignment horizontal="center" vertical="center" wrapText="1"/>
    </xf>
    <xf numFmtId="0" fontId="29" fillId="0" borderId="0" xfId="119" applyFont="1" applyBorder="1" applyAlignment="1">
      <alignment horizontal="center" vertical="center"/>
    </xf>
    <xf numFmtId="0" fontId="29" fillId="0" borderId="0" xfId="119" applyFont="1" applyBorder="1" applyAlignment="1">
      <alignment horizontal="center" vertical="center" textRotation="90" wrapText="1"/>
    </xf>
    <xf numFmtId="0" fontId="32" fillId="0" borderId="0" xfId="119" applyFont="1" applyBorder="1" applyAlignment="1">
      <alignment horizontal="center" textRotation="90"/>
    </xf>
    <xf numFmtId="0" fontId="44" fillId="0" borderId="0" xfId="119" applyFont="1" applyBorder="1" applyAlignment="1">
      <alignment horizontal="center" vertical="center" textRotation="90" wrapText="1"/>
    </xf>
    <xf numFmtId="0" fontId="29" fillId="0" borderId="95" xfId="119" applyFont="1" applyBorder="1" applyAlignment="1">
      <alignment horizontal="center" vertical="center"/>
    </xf>
    <xf numFmtId="9" fontId="46" fillId="0" borderId="95" xfId="119" applyNumberFormat="1" applyFont="1" applyBorder="1" applyAlignment="1">
      <alignment horizontal="center" vertical="center" textRotation="90" wrapText="1"/>
    </xf>
    <xf numFmtId="0" fontId="32" fillId="0" borderId="0" xfId="119" applyFont="1"/>
    <xf numFmtId="0" fontId="1" fillId="0" borderId="0" xfId="119" applyAlignment="1">
      <alignment horizontal="center"/>
    </xf>
    <xf numFmtId="0" fontId="44" fillId="0" borderId="95" xfId="119" applyFont="1" applyBorder="1" applyAlignment="1">
      <alignment horizontal="center" vertical="center"/>
    </xf>
    <xf numFmtId="0" fontId="1" fillId="0" borderId="0" xfId="119" applyFont="1" applyAlignment="1">
      <alignment vertical="center"/>
    </xf>
    <xf numFmtId="0" fontId="15" fillId="5" borderId="95" xfId="111" applyFont="1" applyFill="1" applyBorder="1" applyAlignment="1">
      <alignment horizontal="justify" vertical="center"/>
    </xf>
    <xf numFmtId="0" fontId="39" fillId="0" borderId="88" xfId="111" applyFont="1" applyFill="1" applyBorder="1" applyAlignment="1">
      <alignment horizontal="center" vertical="center" textRotation="90"/>
    </xf>
    <xf numFmtId="0" fontId="14" fillId="5" borderId="19" xfId="111" applyFont="1" applyFill="1" applyBorder="1" applyAlignment="1">
      <alignment horizontal="center" vertical="center" wrapText="1"/>
    </xf>
    <xf numFmtId="0" fontId="14" fillId="5" borderId="95" xfId="111" applyFont="1" applyFill="1" applyBorder="1" applyAlignment="1">
      <alignment horizontal="center" vertical="center" wrapText="1"/>
    </xf>
    <xf numFmtId="0" fontId="48" fillId="5" borderId="19" xfId="111" applyFont="1" applyFill="1" applyBorder="1" applyAlignment="1">
      <alignment horizontal="center" vertical="justify"/>
    </xf>
    <xf numFmtId="0" fontId="49" fillId="0" borderId="19" xfId="111" applyFont="1" applyFill="1" applyBorder="1" applyAlignment="1">
      <alignment horizontal="center" vertical="center" wrapText="1"/>
    </xf>
    <xf numFmtId="0" fontId="13" fillId="5" borderId="19" xfId="111" applyFont="1" applyFill="1" applyBorder="1" applyAlignment="1">
      <alignment horizontal="center" vertical="center" wrapText="1"/>
    </xf>
    <xf numFmtId="0" fontId="13" fillId="5" borderId="95" xfId="111" applyFont="1" applyFill="1" applyBorder="1" applyAlignment="1">
      <alignment horizontal="center" vertical="center" wrapText="1"/>
    </xf>
    <xf numFmtId="168" fontId="12" fillId="3" borderId="19" xfId="112" applyNumberFormat="1" applyFont="1" applyFill="1" applyBorder="1" applyAlignment="1">
      <alignment horizontal="center" vertical="center" wrapText="1"/>
    </xf>
    <xf numFmtId="168" fontId="12" fillId="3" borderId="85" xfId="112" applyNumberFormat="1" applyFont="1" applyFill="1" applyBorder="1" applyAlignment="1">
      <alignment horizontal="center" vertical="center" wrapText="1"/>
    </xf>
    <xf numFmtId="168" fontId="13" fillId="3" borderId="85" xfId="112" applyNumberFormat="1" applyFont="1" applyFill="1" applyBorder="1" applyAlignment="1">
      <alignment horizontal="center" vertical="center" wrapText="1"/>
    </xf>
    <xf numFmtId="0" fontId="50" fillId="5" borderId="19" xfId="111" applyFont="1" applyFill="1" applyBorder="1" applyAlignment="1">
      <alignment horizontal="center" vertical="justify"/>
    </xf>
    <xf numFmtId="0" fontId="13" fillId="0" borderId="95" xfId="111" applyFont="1" applyFill="1" applyBorder="1" applyAlignment="1">
      <alignment horizontal="center" vertical="center" wrapText="1"/>
    </xf>
    <xf numFmtId="168" fontId="13" fillId="3" borderId="32" xfId="112" applyNumberFormat="1" applyFont="1" applyFill="1" applyBorder="1" applyAlignment="1">
      <alignment horizontal="center" vertical="top" wrapText="1"/>
    </xf>
    <xf numFmtId="9" fontId="12" fillId="3" borderId="19" xfId="96" applyFont="1" applyFill="1" applyBorder="1" applyAlignment="1">
      <alignment horizontal="center" vertical="center"/>
    </xf>
    <xf numFmtId="0" fontId="1" fillId="0" borderId="0" xfId="119" applyAlignment="1">
      <alignment horizontal="center" vertical="center"/>
    </xf>
    <xf numFmtId="15" fontId="1" fillId="0" borderId="0" xfId="119" applyNumberFormat="1" applyAlignment="1">
      <alignment horizontal="center" vertical="center"/>
    </xf>
    <xf numFmtId="1" fontId="46" fillId="0" borderId="95" xfId="119" applyNumberFormat="1" applyFont="1" applyBorder="1" applyAlignment="1">
      <alignment horizontal="center" vertical="center" textRotation="90"/>
    </xf>
    <xf numFmtId="42" fontId="1" fillId="0" borderId="0" xfId="126" applyAlignment="1">
      <alignment vertical="center"/>
    </xf>
    <xf numFmtId="0" fontId="13" fillId="3" borderId="19" xfId="111" applyFont="1" applyFill="1" applyBorder="1" applyAlignment="1">
      <alignment horizontal="center" vertical="top" wrapText="1"/>
    </xf>
    <xf numFmtId="170" fontId="12" fillId="0" borderId="19" xfId="111" applyNumberFormat="1" applyFont="1" applyFill="1" applyBorder="1" applyAlignment="1">
      <alignment horizontal="center" vertical="center" wrapText="1"/>
    </xf>
    <xf numFmtId="0" fontId="17" fillId="0" borderId="8" xfId="0" applyFont="1" applyFill="1" applyBorder="1" applyAlignment="1">
      <alignment vertical="center" wrapText="1"/>
    </xf>
    <xf numFmtId="0" fontId="9" fillId="12" borderId="0" xfId="0" applyFont="1" applyFill="1" applyBorder="1"/>
    <xf numFmtId="0" fontId="32" fillId="12" borderId="0" xfId="0" applyFont="1" applyFill="1" applyBorder="1"/>
    <xf numFmtId="0" fontId="32" fillId="12" borderId="0" xfId="0" applyFont="1" applyFill="1"/>
    <xf numFmtId="0" fontId="0" fillId="12" borderId="17" xfId="0" applyFill="1" applyBorder="1" applyAlignment="1">
      <alignment horizontal="center"/>
    </xf>
    <xf numFmtId="3" fontId="0" fillId="12" borderId="17" xfId="0" applyNumberFormat="1" applyFill="1" applyBorder="1" applyAlignment="1">
      <alignment horizontal="right"/>
    </xf>
    <xf numFmtId="0" fontId="0" fillId="12" borderId="17" xfId="0" applyFill="1" applyBorder="1" applyAlignment="1">
      <alignment horizontal="center" vertical="center"/>
    </xf>
    <xf numFmtId="0" fontId="2" fillId="12" borderId="12" xfId="0" applyFont="1" applyFill="1" applyBorder="1" applyAlignment="1">
      <alignment horizontal="center" vertical="center"/>
    </xf>
    <xf numFmtId="0" fontId="2" fillId="0" borderId="15" xfId="0" applyFont="1" applyFill="1" applyBorder="1" applyAlignment="1">
      <alignment horizontal="center" vertical="center"/>
    </xf>
    <xf numFmtId="168" fontId="0" fillId="12" borderId="1" xfId="96" applyNumberFormat="1" applyFont="1" applyFill="1" applyBorder="1" applyAlignment="1">
      <alignment vertical="center"/>
    </xf>
    <xf numFmtId="0" fontId="0" fillId="13" borderId="17" xfId="0" applyFill="1" applyBorder="1" applyAlignment="1">
      <alignment horizontal="center"/>
    </xf>
    <xf numFmtId="3" fontId="0" fillId="13" borderId="17" xfId="0" applyNumberFormat="1" applyFill="1" applyBorder="1" applyAlignment="1">
      <alignment horizontal="right"/>
    </xf>
    <xf numFmtId="168" fontId="0" fillId="13" borderId="1" xfId="96" applyNumberFormat="1" applyFont="1" applyFill="1" applyBorder="1" applyAlignment="1">
      <alignment vertical="center"/>
    </xf>
    <xf numFmtId="0" fontId="0" fillId="13" borderId="17" xfId="0" applyFill="1" applyBorder="1" applyAlignment="1">
      <alignment horizontal="center" vertical="center"/>
    </xf>
    <xf numFmtId="0" fontId="9" fillId="13" borderId="0" xfId="0" applyFont="1" applyFill="1" applyBorder="1"/>
    <xf numFmtId="0" fontId="32" fillId="13" borderId="0" xfId="0" applyFont="1" applyFill="1" applyBorder="1"/>
    <xf numFmtId="0" fontId="32" fillId="13" borderId="0" xfId="0" applyFont="1" applyFill="1"/>
    <xf numFmtId="0" fontId="2" fillId="13" borderId="12" xfId="0" applyFont="1" applyFill="1" applyBorder="1" applyAlignment="1">
      <alignment horizontal="center" vertical="center"/>
    </xf>
    <xf numFmtId="168" fontId="0" fillId="4" borderId="9" xfId="0" applyNumberFormat="1" applyFill="1" applyBorder="1"/>
    <xf numFmtId="0" fontId="13" fillId="3" borderId="95" xfId="111" applyFont="1" applyFill="1" applyBorder="1" applyAlignment="1">
      <alignment horizontal="center" vertical="center" wrapText="1"/>
    </xf>
    <xf numFmtId="0" fontId="13" fillId="3" borderId="95" xfId="111" applyFont="1" applyFill="1" applyBorder="1" applyAlignment="1">
      <alignment horizontal="center" vertical="top" wrapText="1"/>
    </xf>
    <xf numFmtId="0" fontId="13" fillId="3" borderId="32" xfId="111" applyFont="1" applyFill="1" applyBorder="1" applyAlignment="1">
      <alignment horizontal="center" vertical="center" wrapText="1"/>
    </xf>
    <xf numFmtId="0" fontId="13" fillId="8" borderId="23" xfId="111" applyFont="1" applyFill="1" applyBorder="1" applyAlignment="1">
      <alignment vertical="justify"/>
    </xf>
    <xf numFmtId="0" fontId="13" fillId="8" borderId="95" xfId="111" applyFont="1" applyFill="1" applyBorder="1" applyAlignment="1">
      <alignment vertical="justify"/>
    </xf>
    <xf numFmtId="0" fontId="29" fillId="0" borderId="95" xfId="119" applyFont="1" applyBorder="1" applyAlignment="1">
      <alignment horizontal="center" vertical="center"/>
    </xf>
    <xf numFmtId="0" fontId="13" fillId="3" borderId="20" xfId="111" applyFont="1" applyFill="1" applyBorder="1" applyAlignment="1">
      <alignment horizontal="center" vertical="center" wrapText="1"/>
    </xf>
    <xf numFmtId="0" fontId="13" fillId="3" borderId="88" xfId="111" applyFont="1" applyFill="1" applyBorder="1" applyAlignment="1">
      <alignment horizontal="center" vertical="center" wrapText="1"/>
    </xf>
    <xf numFmtId="0" fontId="13" fillId="3" borderId="88" xfId="111" applyFont="1" applyFill="1" applyBorder="1" applyAlignment="1">
      <alignment horizontal="center" vertical="top" wrapText="1"/>
    </xf>
    <xf numFmtId="0" fontId="52" fillId="3" borderId="95" xfId="111" applyFont="1" applyFill="1" applyBorder="1" applyAlignment="1">
      <alignment horizontal="center" vertical="top" wrapText="1"/>
    </xf>
    <xf numFmtId="0" fontId="17" fillId="0" borderId="0" xfId="0" applyFont="1" applyFill="1" applyBorder="1" applyAlignment="1">
      <alignment vertical="center" wrapText="1"/>
    </xf>
    <xf numFmtId="0" fontId="50" fillId="0" borderId="32" xfId="111" applyFont="1" applyFill="1" applyBorder="1" applyAlignment="1">
      <alignment horizontal="center" vertical="center" wrapText="1"/>
    </xf>
    <xf numFmtId="168" fontId="13" fillId="3" borderId="32" xfId="0" applyNumberFormat="1" applyFont="1" applyFill="1" applyBorder="1" applyAlignment="1">
      <alignment horizontal="center" vertical="center" wrapText="1"/>
    </xf>
    <xf numFmtId="1" fontId="1" fillId="0" borderId="0" xfId="119" applyNumberFormat="1" applyAlignment="1">
      <alignment horizontal="center" vertical="center"/>
    </xf>
    <xf numFmtId="0" fontId="13" fillId="3" borderId="85" xfId="112" applyNumberFormat="1" applyFont="1" applyFill="1" applyBorder="1" applyAlignment="1">
      <alignment horizontal="center" vertical="center" wrapText="1"/>
    </xf>
    <xf numFmtId="9" fontId="0" fillId="0" borderId="0" xfId="110" applyFont="1" applyBorder="1" applyAlignment="1">
      <alignment vertical="top" wrapText="1"/>
    </xf>
    <xf numFmtId="0" fontId="2" fillId="0" borderId="94" xfId="0" applyFont="1" applyBorder="1" applyAlignment="1">
      <alignment wrapText="1"/>
    </xf>
    <xf numFmtId="0" fontId="2" fillId="0" borderId="8" xfId="0" applyFont="1" applyBorder="1" applyAlignment="1">
      <alignment wrapText="1"/>
    </xf>
    <xf numFmtId="9" fontId="0" fillId="0" borderId="0" xfId="110" applyFont="1" applyBorder="1" applyAlignment="1">
      <alignment wrapText="1"/>
    </xf>
    <xf numFmtId="0" fontId="0" fillId="0" borderId="94" xfId="0" applyFill="1" applyBorder="1"/>
    <xf numFmtId="0" fontId="2" fillId="0" borderId="94" xfId="0" applyFont="1" applyBorder="1" applyAlignment="1"/>
    <xf numFmtId="0" fontId="2" fillId="0" borderId="8" xfId="0" applyFont="1" applyBorder="1" applyAlignment="1"/>
    <xf numFmtId="0" fontId="54" fillId="3" borderId="19" xfId="111" applyFont="1" applyFill="1" applyBorder="1" applyAlignment="1">
      <alignment horizontal="center" vertical="top" wrapText="1"/>
    </xf>
    <xf numFmtId="0" fontId="15" fillId="3" borderId="88" xfId="111" applyFont="1" applyFill="1" applyBorder="1" applyAlignment="1">
      <alignment horizontal="center" vertical="center" wrapText="1"/>
    </xf>
    <xf numFmtId="0" fontId="11" fillId="0" borderId="0" xfId="119" applyFont="1"/>
    <xf numFmtId="9" fontId="13" fillId="3" borderId="19" xfId="96" applyFont="1" applyFill="1" applyBorder="1" applyAlignment="1">
      <alignment horizontal="center" vertical="center" wrapText="1"/>
    </xf>
    <xf numFmtId="0" fontId="52" fillId="3" borderId="19" xfId="111" applyFont="1" applyFill="1" applyBorder="1" applyAlignment="1">
      <alignment horizontal="center" vertical="top" wrapText="1"/>
    </xf>
    <xf numFmtId="0" fontId="52" fillId="3" borderId="85" xfId="112" applyNumberFormat="1" applyFont="1" applyFill="1" applyBorder="1" applyAlignment="1">
      <alignment horizontal="center" vertical="top" wrapText="1"/>
    </xf>
    <xf numFmtId="0" fontId="54" fillId="3" borderId="95" xfId="112" applyNumberFormat="1" applyFont="1" applyFill="1" applyBorder="1" applyAlignment="1">
      <alignment horizontal="center" vertical="top" wrapText="1"/>
    </xf>
    <xf numFmtId="1" fontId="46" fillId="2" borderId="95" xfId="119" applyNumberFormat="1" applyFont="1" applyFill="1" applyBorder="1" applyAlignment="1">
      <alignment horizontal="center" vertical="center" textRotation="90"/>
    </xf>
    <xf numFmtId="0" fontId="2" fillId="2" borderId="8" xfId="0" applyFont="1" applyFill="1" applyBorder="1" applyAlignment="1">
      <alignment horizontal="center"/>
    </xf>
    <xf numFmtId="41" fontId="0" fillId="0" borderId="0" xfId="127" applyFont="1" applyBorder="1" applyAlignment="1">
      <alignment horizontal="center"/>
    </xf>
    <xf numFmtId="0" fontId="2" fillId="0" borderId="0" xfId="111" applyFont="1" applyFill="1" applyAlignment="1">
      <alignment vertical="center"/>
    </xf>
    <xf numFmtId="0" fontId="6" fillId="0" borderId="0" xfId="111" applyFont="1" applyFill="1" applyAlignment="1">
      <alignment vertical="center"/>
    </xf>
    <xf numFmtId="0" fontId="14" fillId="0" borderId="4" xfId="111" applyFont="1" applyFill="1" applyBorder="1" applyAlignment="1">
      <alignment horizontal="center" vertical="center"/>
    </xf>
    <xf numFmtId="0" fontId="14" fillId="0" borderId="5" xfId="111" applyFont="1" applyFill="1" applyBorder="1" applyAlignment="1">
      <alignment horizontal="center" vertical="center"/>
    </xf>
    <xf numFmtId="0" fontId="14" fillId="3" borderId="4" xfId="111" applyFont="1" applyFill="1" applyBorder="1" applyAlignment="1">
      <alignment horizontal="center" vertical="center"/>
    </xf>
    <xf numFmtId="0" fontId="14" fillId="3" borderId="6" xfId="111" applyFont="1" applyFill="1" applyBorder="1" applyAlignment="1">
      <alignment horizontal="center" vertical="center"/>
    </xf>
    <xf numFmtId="0" fontId="6" fillId="0" borderId="0" xfId="111" applyFont="1" applyFill="1" applyBorder="1" applyAlignment="1">
      <alignment vertical="center" wrapText="1"/>
    </xf>
    <xf numFmtId="0" fontId="15" fillId="0" borderId="18" xfId="111" applyFont="1" applyFill="1" applyBorder="1" applyAlignment="1">
      <alignment horizontal="center" vertical="center"/>
    </xf>
    <xf numFmtId="0" fontId="15" fillId="0" borderId="16" xfId="111" applyFont="1" applyFill="1" applyBorder="1" applyAlignment="1">
      <alignment horizontal="center" vertical="center"/>
    </xf>
    <xf numFmtId="0" fontId="15" fillId="0" borderId="10" xfId="111" applyFont="1" applyFill="1" applyBorder="1" applyAlignment="1">
      <alignment horizontal="center" vertical="center"/>
    </xf>
    <xf numFmtId="0" fontId="14" fillId="2" borderId="19" xfId="111" applyFont="1" applyFill="1" applyBorder="1" applyAlignment="1">
      <alignment horizontal="center" vertical="center"/>
    </xf>
    <xf numFmtId="0" fontId="39" fillId="0" borderId="88" xfId="111" applyFont="1" applyFill="1" applyBorder="1" applyAlignment="1">
      <alignment horizontal="center" vertical="center" textRotation="90"/>
    </xf>
    <xf numFmtId="0" fontId="39" fillId="0" borderId="16" xfId="111" applyFont="1" applyFill="1" applyBorder="1" applyAlignment="1">
      <alignment horizontal="center" vertical="center" textRotation="90"/>
    </xf>
    <xf numFmtId="0" fontId="39" fillId="0" borderId="10" xfId="111" applyFont="1" applyFill="1" applyBorder="1" applyAlignment="1">
      <alignment horizontal="center" vertical="center" textRotation="90"/>
    </xf>
    <xf numFmtId="0" fontId="15" fillId="2" borderId="89" xfId="111" applyFont="1" applyFill="1" applyBorder="1" applyAlignment="1">
      <alignment horizontal="center" vertical="center" wrapText="1"/>
    </xf>
    <xf numFmtId="0" fontId="15" fillId="2" borderId="90" xfId="111" applyFont="1" applyFill="1" applyBorder="1" applyAlignment="1">
      <alignment horizontal="center" vertical="center" wrapText="1"/>
    </xf>
    <xf numFmtId="0" fontId="14" fillId="2" borderId="89" xfId="111" applyFont="1" applyFill="1" applyBorder="1" applyAlignment="1">
      <alignment horizontal="center" vertical="center"/>
    </xf>
    <xf numFmtId="0" fontId="14" fillId="2" borderId="90" xfId="111" applyFont="1" applyFill="1" applyBorder="1" applyAlignment="1">
      <alignment horizontal="center" vertical="center"/>
    </xf>
    <xf numFmtId="0" fontId="15" fillId="2" borderId="19" xfId="111" applyFont="1" applyFill="1" applyBorder="1" applyAlignment="1">
      <alignment horizontal="center" vertical="center" wrapText="1"/>
    </xf>
    <xf numFmtId="0" fontId="32" fillId="0" borderId="94" xfId="0" applyFont="1" applyBorder="1" applyAlignment="1">
      <alignment horizontal="center" vertical="center"/>
    </xf>
    <xf numFmtId="0" fontId="17" fillId="0" borderId="8"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xf numFmtId="0" fontId="9" fillId="0" borderId="2" xfId="0" applyFont="1" applyBorder="1"/>
    <xf numFmtId="0" fontId="2" fillId="0" borderId="17" xfId="0" applyFont="1" applyBorder="1" applyAlignment="1">
      <alignment horizontal="left" vertical="center" wrapText="1"/>
    </xf>
    <xf numFmtId="0" fontId="2" fillId="0" borderId="17" xfId="0" applyFont="1" applyBorder="1" applyAlignment="1">
      <alignment horizontal="left" vertical="center"/>
    </xf>
    <xf numFmtId="168" fontId="0" fillId="0" borderId="17" xfId="1" applyNumberFormat="1" applyFont="1" applyBorder="1" applyAlignment="1">
      <alignmen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9" fontId="0" fillId="0" borderId="23" xfId="96" applyFont="1" applyBorder="1" applyAlignment="1">
      <alignment vertical="center"/>
    </xf>
    <xf numFmtId="9" fontId="0" fillId="0" borderId="16" xfId="96" applyFont="1" applyBorder="1" applyAlignment="1">
      <alignment vertical="center"/>
    </xf>
    <xf numFmtId="9" fontId="0" fillId="0" borderId="10" xfId="96" applyFont="1" applyBorder="1" applyAlignment="1">
      <alignment vertical="center"/>
    </xf>
    <xf numFmtId="0" fontId="17" fillId="0" borderId="0"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2" fillId="13" borderId="3" xfId="0" applyFont="1" applyFill="1" applyBorder="1" applyAlignment="1">
      <alignment vertical="center" wrapText="1"/>
    </xf>
    <xf numFmtId="0" fontId="2" fillId="13" borderId="2" xfId="0" applyFont="1" applyFill="1" applyBorder="1" applyAlignment="1">
      <alignment vertical="center" wrapText="1"/>
    </xf>
    <xf numFmtId="0" fontId="2" fillId="12" borderId="3" xfId="0" applyFont="1" applyFill="1" applyBorder="1" applyAlignment="1">
      <alignment vertical="center" wrapText="1"/>
    </xf>
    <xf numFmtId="0" fontId="2" fillId="12" borderId="2" xfId="0" applyFont="1" applyFill="1" applyBorder="1" applyAlignment="1">
      <alignment vertical="center" wrapText="1"/>
    </xf>
    <xf numFmtId="15" fontId="46" fillId="0" borderId="95" xfId="119" applyNumberFormat="1" applyFont="1" applyBorder="1" applyAlignment="1">
      <alignment horizontal="center" vertical="center" wrapText="1"/>
    </xf>
    <xf numFmtId="1" fontId="46" fillId="0" borderId="95" xfId="119" applyNumberFormat="1" applyFont="1" applyBorder="1" applyAlignment="1">
      <alignment horizontal="center" vertical="center" wrapText="1"/>
    </xf>
    <xf numFmtId="1" fontId="46" fillId="0" borderId="95" xfId="119" applyNumberFormat="1" applyFont="1" applyBorder="1" applyAlignment="1">
      <alignment vertical="center" wrapText="1"/>
    </xf>
    <xf numFmtId="0" fontId="46" fillId="0" borderId="95" xfId="119" applyFont="1" applyBorder="1" applyAlignment="1">
      <alignment horizontal="center" vertical="center" wrapText="1"/>
    </xf>
    <xf numFmtId="183" fontId="46" fillId="0" borderId="89" xfId="119" applyNumberFormat="1" applyFont="1" applyBorder="1" applyAlignment="1">
      <alignment horizontal="center" vertical="center"/>
    </xf>
    <xf numFmtId="183" fontId="46" fillId="0" borderId="96" xfId="119" applyNumberFormat="1" applyFont="1" applyBorder="1" applyAlignment="1">
      <alignment horizontal="center" vertical="center"/>
    </xf>
    <xf numFmtId="183" fontId="46" fillId="0" borderId="90" xfId="119" applyNumberFormat="1" applyFont="1" applyBorder="1" applyAlignment="1">
      <alignment horizontal="center" vertical="center"/>
    </xf>
    <xf numFmtId="183" fontId="46" fillId="11" borderId="95" xfId="119" applyNumberFormat="1" applyFont="1" applyFill="1" applyBorder="1" applyAlignment="1">
      <alignment horizontal="center" vertical="center"/>
    </xf>
    <xf numFmtId="0" fontId="43" fillId="0" borderId="0" xfId="119" applyFont="1" applyAlignment="1">
      <alignment horizontal="center" vertical="center"/>
    </xf>
    <xf numFmtId="0" fontId="32" fillId="0" borderId="89" xfId="119" applyFont="1" applyBorder="1" applyAlignment="1">
      <alignment horizontal="center" vertical="center" wrapText="1"/>
    </xf>
    <xf numFmtId="0" fontId="32" fillId="0" borderId="96" xfId="119" applyFont="1" applyBorder="1" applyAlignment="1">
      <alignment horizontal="center" vertical="center" wrapText="1"/>
    </xf>
    <xf numFmtId="0" fontId="32" fillId="0" borderId="90" xfId="119" applyFont="1" applyBorder="1" applyAlignment="1">
      <alignment horizontal="center" vertical="center" wrapText="1"/>
    </xf>
    <xf numFmtId="184" fontId="1" fillId="0" borderId="89" xfId="119" applyNumberFormat="1" applyFill="1" applyBorder="1" applyAlignment="1">
      <alignment horizontal="center" vertical="center"/>
    </xf>
    <xf numFmtId="184" fontId="1" fillId="0" borderId="96" xfId="119" applyNumberFormat="1" applyFill="1" applyBorder="1" applyAlignment="1">
      <alignment horizontal="center" vertical="center"/>
    </xf>
    <xf numFmtId="184" fontId="1" fillId="0" borderId="90" xfId="119" applyNumberFormat="1" applyFill="1" applyBorder="1" applyAlignment="1">
      <alignment horizontal="center" vertical="center"/>
    </xf>
    <xf numFmtId="184" fontId="1" fillId="0" borderId="89" xfId="119" applyNumberFormat="1" applyBorder="1" applyAlignment="1">
      <alignment horizontal="center" vertical="center"/>
    </xf>
    <xf numFmtId="184" fontId="1" fillId="0" borderId="96" xfId="119" applyNumberFormat="1" applyBorder="1" applyAlignment="1">
      <alignment horizontal="center" vertical="center"/>
    </xf>
    <xf numFmtId="184" fontId="1" fillId="0" borderId="90" xfId="119" applyNumberFormat="1" applyBorder="1" applyAlignment="1">
      <alignment horizontal="center" vertical="center"/>
    </xf>
    <xf numFmtId="183" fontId="32" fillId="0" borderId="95" xfId="119" applyNumberFormat="1" applyFont="1" applyFill="1" applyBorder="1" applyAlignment="1">
      <alignment horizontal="center" vertical="center"/>
    </xf>
    <xf numFmtId="0" fontId="32" fillId="0" borderId="95" xfId="119" applyFont="1" applyBorder="1" applyAlignment="1">
      <alignment horizontal="center" vertical="center"/>
    </xf>
    <xf numFmtId="183" fontId="32" fillId="0" borderId="89" xfId="119" applyNumberFormat="1" applyFont="1" applyBorder="1" applyAlignment="1">
      <alignment horizontal="center" vertical="center"/>
    </xf>
    <xf numFmtId="183" fontId="32" fillId="0" borderId="96" xfId="119" applyNumberFormat="1" applyFont="1" applyBorder="1" applyAlignment="1">
      <alignment horizontal="center" vertical="center"/>
    </xf>
    <xf numFmtId="183" fontId="32" fillId="0" borderId="90" xfId="119" applyNumberFormat="1" applyFont="1" applyBorder="1" applyAlignment="1">
      <alignment horizontal="center" vertical="center"/>
    </xf>
    <xf numFmtId="0" fontId="43" fillId="0" borderId="0" xfId="119" applyFont="1" applyAlignment="1">
      <alignment horizontal="center" vertical="center" wrapText="1"/>
    </xf>
    <xf numFmtId="0" fontId="32" fillId="3" borderId="95" xfId="119" applyFont="1" applyFill="1" applyBorder="1" applyAlignment="1">
      <alignment horizontal="center"/>
    </xf>
    <xf numFmtId="0" fontId="32" fillId="0" borderId="95" xfId="119" applyFont="1" applyBorder="1" applyAlignment="1">
      <alignment horizontal="center"/>
    </xf>
    <xf numFmtId="0" fontId="32" fillId="0" borderId="95" xfId="119" applyFont="1" applyBorder="1" applyAlignment="1">
      <alignment vertical="center" wrapText="1"/>
    </xf>
    <xf numFmtId="183" fontId="32" fillId="0" borderId="95" xfId="119" applyNumberFormat="1" applyFont="1" applyBorder="1" applyAlignment="1">
      <alignment horizontal="center" vertical="center"/>
    </xf>
    <xf numFmtId="0" fontId="32" fillId="0" borderId="95" xfId="119" applyFont="1" applyBorder="1" applyAlignment="1">
      <alignment horizontal="center" vertical="center" wrapText="1"/>
    </xf>
    <xf numFmtId="0" fontId="32" fillId="0" borderId="89" xfId="119" applyFont="1" applyBorder="1" applyAlignment="1">
      <alignment horizontal="center" vertical="center" textRotation="90" wrapText="1"/>
    </xf>
    <xf numFmtId="0" fontId="32" fillId="0" borderId="90" xfId="119" applyFont="1" applyBorder="1" applyAlignment="1">
      <alignment horizontal="center" vertical="center" textRotation="90" wrapText="1"/>
    </xf>
    <xf numFmtId="0" fontId="29" fillId="0" borderId="95" xfId="119" applyFont="1" applyBorder="1" applyAlignment="1">
      <alignment horizontal="center" vertical="center" wrapText="1"/>
    </xf>
    <xf numFmtId="0" fontId="32" fillId="0" borderId="95" xfId="119" applyFont="1" applyBorder="1" applyAlignment="1">
      <alignment horizontal="center" vertical="center" textRotation="90" wrapText="1"/>
    </xf>
    <xf numFmtId="0" fontId="32" fillId="10" borderId="95" xfId="119" applyFont="1" applyFill="1" applyBorder="1" applyAlignment="1">
      <alignment horizontal="center" vertical="center" textRotation="90" wrapText="1"/>
    </xf>
    <xf numFmtId="0" fontId="45" fillId="11" borderId="95" xfId="119" applyFont="1" applyFill="1" applyBorder="1" applyAlignment="1">
      <alignment horizontal="center" vertical="center"/>
    </xf>
    <xf numFmtId="0" fontId="1" fillId="0" borderId="95" xfId="119" applyFill="1" applyBorder="1" applyAlignment="1">
      <alignment horizontal="center" vertical="center"/>
    </xf>
    <xf numFmtId="184" fontId="1" fillId="0" borderId="114" xfId="119" applyNumberFormat="1" applyBorder="1" applyAlignment="1">
      <alignment vertical="center"/>
    </xf>
    <xf numFmtId="184" fontId="1" fillId="0" borderId="115" xfId="119" applyNumberFormat="1" applyBorder="1" applyAlignment="1">
      <alignment vertical="center"/>
    </xf>
    <xf numFmtId="184" fontId="1" fillId="0" borderId="116" xfId="119" applyNumberFormat="1" applyBorder="1" applyAlignment="1">
      <alignment vertical="center"/>
    </xf>
    <xf numFmtId="0" fontId="1" fillId="0" borderId="95" xfId="119" applyBorder="1" applyAlignment="1">
      <alignment horizontal="center" vertical="center"/>
    </xf>
    <xf numFmtId="10" fontId="1" fillId="0" borderId="89" xfId="119" applyNumberFormat="1" applyBorder="1" applyAlignment="1">
      <alignment horizontal="center" vertical="center"/>
    </xf>
    <xf numFmtId="10" fontId="1" fillId="0" borderId="90" xfId="119" applyNumberFormat="1" applyBorder="1" applyAlignment="1">
      <alignment horizontal="center" vertical="center"/>
    </xf>
    <xf numFmtId="183" fontId="1" fillId="0" borderId="95" xfId="119" applyNumberFormat="1" applyFill="1" applyBorder="1" applyAlignment="1">
      <alignment horizontal="center" vertical="center"/>
    </xf>
    <xf numFmtId="175" fontId="1" fillId="0" borderId="89" xfId="119" applyNumberFormat="1" applyBorder="1" applyAlignment="1">
      <alignment horizontal="center" vertical="center"/>
    </xf>
    <xf numFmtId="175" fontId="1" fillId="0" borderId="90" xfId="119" applyNumberFormat="1" applyBorder="1" applyAlignment="1">
      <alignment horizontal="center" vertical="center"/>
    </xf>
    <xf numFmtId="2" fontId="1" fillId="0" borderId="95" xfId="119" applyNumberFormat="1" applyFill="1" applyBorder="1" applyAlignment="1">
      <alignment horizontal="center" vertical="center"/>
    </xf>
    <xf numFmtId="0" fontId="32" fillId="0" borderId="101" xfId="119" applyFont="1" applyBorder="1" applyAlignment="1">
      <alignment horizontal="center" vertical="center"/>
    </xf>
    <xf numFmtId="0" fontId="29" fillId="0" borderId="102" xfId="119" applyFont="1" applyBorder="1" applyAlignment="1">
      <alignment horizontal="center" vertical="center" textRotation="90" wrapText="1"/>
    </xf>
    <xf numFmtId="0" fontId="29" fillId="0" borderId="16" xfId="119" applyFont="1" applyBorder="1" applyAlignment="1">
      <alignment horizontal="center" vertical="center" textRotation="90" wrapText="1"/>
    </xf>
    <xf numFmtId="0" fontId="29" fillId="0" borderId="112" xfId="119" applyFont="1" applyBorder="1" applyAlignment="1">
      <alignment horizontal="center" vertical="center" textRotation="90" wrapText="1"/>
    </xf>
    <xf numFmtId="183" fontId="1" fillId="0" borderId="95" xfId="119" applyNumberFormat="1" applyBorder="1" applyAlignment="1">
      <alignment horizontal="center" vertical="center"/>
    </xf>
    <xf numFmtId="2" fontId="1" fillId="0" borderId="95" xfId="119" applyNumberFormat="1" applyBorder="1" applyAlignment="1">
      <alignment horizontal="center" vertical="center"/>
    </xf>
    <xf numFmtId="0" fontId="32" fillId="0" borderId="99" xfId="119" applyFont="1" applyBorder="1" applyAlignment="1">
      <alignment horizontal="center" vertical="center" wrapText="1"/>
    </xf>
    <xf numFmtId="0" fontId="32" fillId="0" borderId="98" xfId="119" applyFont="1" applyBorder="1" applyAlignment="1">
      <alignment horizontal="center" vertical="center" wrapText="1"/>
    </xf>
    <xf numFmtId="0" fontId="32" fillId="0" borderId="94" xfId="119" applyFont="1" applyBorder="1" applyAlignment="1">
      <alignment horizontal="center" vertical="center" wrapText="1"/>
    </xf>
    <xf numFmtId="0" fontId="32" fillId="0" borderId="0" xfId="119" applyFont="1" applyBorder="1" applyAlignment="1">
      <alignment horizontal="center" vertical="center" wrapText="1"/>
    </xf>
    <xf numFmtId="0" fontId="32" fillId="0" borderId="109" xfId="119" applyFont="1" applyBorder="1" applyAlignment="1">
      <alignment horizontal="center" vertical="center" wrapText="1"/>
    </xf>
    <xf numFmtId="0" fontId="32" fillId="0" borderId="108" xfId="119" applyFont="1" applyBorder="1" applyAlignment="1">
      <alignment horizontal="center" vertical="center" wrapText="1"/>
    </xf>
    <xf numFmtId="0" fontId="44" fillId="0" borderId="99" xfId="119" applyFont="1" applyBorder="1" applyAlignment="1">
      <alignment horizontal="center" vertical="center" wrapText="1"/>
    </xf>
    <xf numFmtId="0" fontId="44" fillId="0" borderId="98" xfId="119" applyFont="1" applyBorder="1" applyAlignment="1">
      <alignment horizontal="center" vertical="center" wrapText="1"/>
    </xf>
    <xf numFmtId="0" fontId="44" fillId="0" borderId="94" xfId="119" applyFont="1" applyBorder="1" applyAlignment="1">
      <alignment horizontal="center" vertical="center" wrapText="1"/>
    </xf>
    <xf numFmtId="0" fontId="44" fillId="0" borderId="0" xfId="119" applyFont="1" applyBorder="1" applyAlignment="1">
      <alignment horizontal="center" vertical="center" wrapText="1"/>
    </xf>
    <xf numFmtId="0" fontId="44" fillId="0" borderId="109" xfId="119" applyFont="1" applyBorder="1" applyAlignment="1">
      <alignment horizontal="center" vertical="center" wrapText="1"/>
    </xf>
    <xf numFmtId="0" fontId="44" fillId="0" borderId="108" xfId="119" applyFont="1" applyBorder="1" applyAlignment="1">
      <alignment horizontal="center" vertical="center" wrapText="1"/>
    </xf>
    <xf numFmtId="0" fontId="44" fillId="0" borderId="100" xfId="119" applyFont="1" applyBorder="1" applyAlignment="1">
      <alignment horizontal="center" vertical="center" wrapText="1"/>
    </xf>
    <xf numFmtId="0" fontId="44" fillId="0" borderId="8" xfId="119" applyFont="1" applyBorder="1" applyAlignment="1">
      <alignment horizontal="center" vertical="center" wrapText="1"/>
    </xf>
    <xf numFmtId="0" fontId="44" fillId="0" borderId="110" xfId="119" applyFont="1" applyBorder="1" applyAlignment="1">
      <alignment horizontal="center" vertical="center" wrapText="1"/>
    </xf>
    <xf numFmtId="0" fontId="32" fillId="0" borderId="97" xfId="119" applyFont="1" applyBorder="1" applyAlignment="1">
      <alignment horizontal="center" vertical="center" wrapText="1"/>
    </xf>
    <xf numFmtId="0" fontId="32" fillId="0" borderId="104" xfId="119" applyFont="1" applyBorder="1" applyAlignment="1">
      <alignment horizontal="center" vertical="center" wrapText="1"/>
    </xf>
    <xf numFmtId="0" fontId="32" fillId="0" borderId="107" xfId="119" applyFont="1" applyBorder="1" applyAlignment="1">
      <alignment horizontal="center" vertical="center" wrapText="1"/>
    </xf>
    <xf numFmtId="0" fontId="32" fillId="0" borderId="100" xfId="119" applyFont="1" applyBorder="1" applyAlignment="1">
      <alignment horizontal="center" vertical="center" wrapText="1"/>
    </xf>
    <xf numFmtId="0" fontId="32" fillId="0" borderId="8" xfId="119" applyFont="1" applyBorder="1" applyAlignment="1">
      <alignment horizontal="center" vertical="center" wrapText="1"/>
    </xf>
    <xf numFmtId="0" fontId="32" fillId="0" borderId="110" xfId="119" applyFont="1" applyBorder="1" applyAlignment="1">
      <alignment horizontal="center" vertical="center" wrapText="1"/>
    </xf>
    <xf numFmtId="0" fontId="32" fillId="0" borderId="99" xfId="119" applyFont="1" applyBorder="1" applyAlignment="1">
      <alignment horizontal="center" vertical="center"/>
    </xf>
    <xf numFmtId="0" fontId="32" fillId="0" borderId="98" xfId="119" applyFont="1" applyBorder="1" applyAlignment="1">
      <alignment horizontal="center" vertical="center"/>
    </xf>
    <xf numFmtId="0" fontId="32" fillId="0" borderId="100" xfId="119" applyFont="1" applyBorder="1" applyAlignment="1">
      <alignment horizontal="center" vertical="center"/>
    </xf>
    <xf numFmtId="0" fontId="32" fillId="0" borderId="94" xfId="119" applyFont="1" applyBorder="1" applyAlignment="1">
      <alignment horizontal="center" vertical="center"/>
    </xf>
    <xf numFmtId="0" fontId="32" fillId="0" borderId="0" xfId="119" applyFont="1" applyBorder="1" applyAlignment="1">
      <alignment horizontal="center" vertical="center"/>
    </xf>
    <xf numFmtId="0" fontId="32" fillId="0" borderId="8" xfId="119" applyFont="1" applyBorder="1" applyAlignment="1">
      <alignment horizontal="center" vertical="center"/>
    </xf>
    <xf numFmtId="0" fontId="32" fillId="0" borderId="109" xfId="119" applyFont="1" applyBorder="1" applyAlignment="1">
      <alignment horizontal="center" vertical="center"/>
    </xf>
    <xf numFmtId="0" fontId="32" fillId="0" borderId="108" xfId="119" applyFont="1" applyBorder="1" applyAlignment="1">
      <alignment horizontal="center" vertical="center"/>
    </xf>
    <xf numFmtId="0" fontId="32" fillId="0" borderId="110" xfId="119" applyFont="1" applyBorder="1" applyAlignment="1">
      <alignment horizontal="center" vertical="center"/>
    </xf>
    <xf numFmtId="0" fontId="32" fillId="0" borderId="101" xfId="119" applyFont="1" applyBorder="1" applyAlignment="1">
      <alignment horizontal="center" vertical="center" wrapText="1"/>
    </xf>
    <xf numFmtId="0" fontId="32" fillId="0" borderId="88" xfId="119" applyFont="1" applyBorder="1" applyAlignment="1">
      <alignment horizontal="center" vertical="center" wrapText="1"/>
    </xf>
    <xf numFmtId="0" fontId="32" fillId="0" borderId="111" xfId="119" applyFont="1" applyBorder="1" applyAlignment="1">
      <alignment horizontal="center" vertical="center" wrapText="1"/>
    </xf>
    <xf numFmtId="0" fontId="32" fillId="0" borderId="101" xfId="119" applyFont="1" applyBorder="1" applyAlignment="1">
      <alignment horizontal="center"/>
    </xf>
    <xf numFmtId="0" fontId="32" fillId="0" borderId="103" xfId="119" applyFont="1" applyBorder="1" applyAlignment="1">
      <alignment horizontal="center"/>
    </xf>
    <xf numFmtId="0" fontId="32" fillId="0" borderId="95" xfId="119" applyFont="1" applyBorder="1" applyAlignment="1">
      <alignment horizontal="center" vertical="center" textRotation="90"/>
    </xf>
    <xf numFmtId="0" fontId="32" fillId="0" borderId="88" xfId="119" applyFont="1" applyBorder="1" applyAlignment="1">
      <alignment horizontal="center" vertical="center" textRotation="90"/>
    </xf>
    <xf numFmtId="0" fontId="32" fillId="0" borderId="111" xfId="119" applyFont="1" applyBorder="1" applyAlignment="1">
      <alignment horizontal="center" vertical="center" textRotation="90"/>
    </xf>
    <xf numFmtId="0" fontId="44" fillId="0" borderId="95" xfId="119" applyFont="1" applyBorder="1" applyAlignment="1">
      <alignment horizontal="center" vertical="center" textRotation="90" wrapText="1"/>
    </xf>
    <xf numFmtId="0" fontId="44" fillId="0" borderId="88" xfId="119" applyFont="1" applyBorder="1" applyAlignment="1">
      <alignment horizontal="center" vertical="center" textRotation="90" wrapText="1"/>
    </xf>
    <xf numFmtId="0" fontId="44" fillId="0" borderId="111" xfId="119" applyFont="1" applyBorder="1" applyAlignment="1">
      <alignment horizontal="center" vertical="center" textRotation="90" wrapText="1"/>
    </xf>
    <xf numFmtId="0" fontId="32" fillId="0" borderId="105" xfId="119" applyFont="1" applyBorder="1" applyAlignment="1">
      <alignment horizontal="center" vertical="center" wrapText="1"/>
    </xf>
    <xf numFmtId="0" fontId="32" fillId="0" borderId="106" xfId="119" applyFont="1" applyBorder="1" applyAlignment="1">
      <alignment horizontal="center" vertical="center" wrapText="1"/>
    </xf>
    <xf numFmtId="0" fontId="32" fillId="0" borderId="113" xfId="119" applyFont="1" applyBorder="1" applyAlignment="1">
      <alignment horizontal="center" vertical="center" wrapText="1"/>
    </xf>
    <xf numFmtId="0" fontId="29" fillId="0" borderId="95" xfId="119" applyFont="1" applyBorder="1" applyAlignment="1">
      <alignment horizontal="center" vertical="center"/>
    </xf>
    <xf numFmtId="0" fontId="29" fillId="0" borderId="88" xfId="119" applyFont="1" applyBorder="1" applyAlignment="1">
      <alignment horizontal="center" vertical="center"/>
    </xf>
    <xf numFmtId="0" fontId="29" fillId="0" borderId="111" xfId="119" applyFont="1" applyBorder="1" applyAlignment="1">
      <alignment horizontal="center" vertical="center"/>
    </xf>
    <xf numFmtId="0" fontId="32" fillId="10" borderId="10" xfId="119" applyFont="1" applyFill="1" applyBorder="1" applyAlignment="1">
      <alignment horizontal="center"/>
    </xf>
    <xf numFmtId="183" fontId="45" fillId="11" borderId="10" xfId="119" applyNumberFormat="1" applyFont="1" applyFill="1" applyBorder="1" applyAlignment="1">
      <alignment horizontal="center"/>
    </xf>
    <xf numFmtId="0" fontId="45" fillId="11" borderId="10" xfId="119" applyFont="1" applyFill="1" applyBorder="1" applyAlignment="1">
      <alignment horizontal="center"/>
    </xf>
    <xf numFmtId="183" fontId="32" fillId="0" borderId="4" xfId="119" applyNumberFormat="1" applyFont="1" applyBorder="1" applyAlignment="1">
      <alignment horizontal="center"/>
    </xf>
    <xf numFmtId="183" fontId="32" fillId="0" borderId="5" xfId="119" applyNumberFormat="1" applyFont="1" applyBorder="1" applyAlignment="1">
      <alignment horizontal="center"/>
    </xf>
    <xf numFmtId="183" fontId="32" fillId="0" borderId="6" xfId="119" applyNumberFormat="1" applyFont="1" applyBorder="1" applyAlignment="1">
      <alignment horizontal="center"/>
    </xf>
    <xf numFmtId="0" fontId="1" fillId="0" borderId="0" xfId="119" applyAlignment="1">
      <alignment horizontal="center"/>
    </xf>
    <xf numFmtId="175" fontId="1" fillId="0" borderId="95" xfId="119" applyNumberFormat="1" applyFill="1" applyBorder="1" applyAlignment="1">
      <alignment horizontal="center" vertical="center"/>
    </xf>
    <xf numFmtId="0" fontId="32" fillId="0" borderId="114" xfId="119" applyFont="1" applyBorder="1" applyAlignment="1">
      <alignment horizontal="center" vertical="center" wrapText="1"/>
    </xf>
    <xf numFmtId="0" fontId="32" fillId="0" borderId="115" xfId="119" applyFont="1" applyBorder="1" applyAlignment="1">
      <alignment horizontal="center" vertical="center" wrapText="1"/>
    </xf>
    <xf numFmtId="0" fontId="32" fillId="0" borderId="116" xfId="119" applyFont="1" applyBorder="1" applyAlignment="1">
      <alignment horizontal="center" vertical="center" wrapText="1"/>
    </xf>
    <xf numFmtId="183" fontId="1" fillId="0" borderId="114" xfId="119" applyNumberFormat="1" applyFill="1" applyBorder="1" applyAlignment="1">
      <alignment horizontal="center" vertical="center"/>
    </xf>
    <xf numFmtId="183" fontId="1" fillId="0" borderId="115" xfId="119" applyNumberFormat="1" applyFill="1" applyBorder="1" applyAlignment="1">
      <alignment horizontal="center" vertical="center"/>
    </xf>
    <xf numFmtId="183" fontId="1" fillId="0" borderId="116" xfId="119" applyNumberFormat="1" applyFill="1" applyBorder="1" applyAlignment="1">
      <alignment horizontal="center" vertical="center"/>
    </xf>
    <xf numFmtId="184" fontId="1" fillId="0" borderId="114" xfId="119" applyNumberFormat="1" applyBorder="1" applyAlignment="1">
      <alignment horizontal="center" vertical="center"/>
    </xf>
    <xf numFmtId="184" fontId="1" fillId="0" borderId="115" xfId="119" applyNumberFormat="1" applyBorder="1" applyAlignment="1">
      <alignment horizontal="center" vertical="center"/>
    </xf>
    <xf numFmtId="184" fontId="1" fillId="0" borderId="116" xfId="119" applyNumberFormat="1" applyBorder="1" applyAlignment="1">
      <alignment horizontal="center" vertical="center"/>
    </xf>
    <xf numFmtId="184" fontId="1" fillId="0" borderId="114" xfId="119" applyNumberFormat="1" applyFill="1" applyBorder="1" applyAlignment="1">
      <alignment horizontal="center" vertical="center"/>
    </xf>
    <xf numFmtId="184" fontId="1" fillId="0" borderId="115" xfId="119" applyNumberFormat="1" applyFill="1" applyBorder="1" applyAlignment="1">
      <alignment horizontal="center" vertical="center"/>
    </xf>
    <xf numFmtId="184" fontId="1" fillId="0" borderId="116" xfId="119" applyNumberFormat="1" applyFill="1" applyBorder="1" applyAlignment="1">
      <alignment horizontal="center" vertical="center"/>
    </xf>
    <xf numFmtId="183" fontId="46" fillId="0" borderId="114" xfId="119" applyNumberFormat="1" applyFont="1" applyFill="1" applyBorder="1" applyAlignment="1">
      <alignment horizontal="center" vertical="center"/>
    </xf>
    <xf numFmtId="183" fontId="46" fillId="0" borderId="115" xfId="119" applyNumberFormat="1" applyFont="1" applyFill="1" applyBorder="1" applyAlignment="1">
      <alignment horizontal="center" vertical="center"/>
    </xf>
    <xf numFmtId="183" fontId="46" fillId="0" borderId="116" xfId="119" applyNumberFormat="1" applyFont="1" applyFill="1" applyBorder="1" applyAlignment="1">
      <alignment horizontal="center" vertical="center"/>
    </xf>
    <xf numFmtId="0" fontId="46" fillId="2" borderId="95" xfId="119" applyFont="1" applyFill="1" applyBorder="1" applyAlignment="1">
      <alignment horizontal="center" vertical="center" wrapText="1"/>
    </xf>
    <xf numFmtId="10" fontId="1" fillId="0" borderId="89" xfId="119" applyNumberFormat="1" applyBorder="1" applyAlignment="1">
      <alignment horizontal="center"/>
    </xf>
    <xf numFmtId="10" fontId="1" fillId="0" borderId="90" xfId="119" applyNumberFormat="1" applyBorder="1" applyAlignment="1">
      <alignment horizontal="center"/>
    </xf>
    <xf numFmtId="183" fontId="1" fillId="0" borderId="95" xfId="119" applyNumberFormat="1" applyBorder="1" applyAlignment="1">
      <alignment horizontal="center"/>
    </xf>
    <xf numFmtId="175" fontId="1" fillId="0" borderId="95" xfId="119" applyNumberFormat="1" applyBorder="1" applyAlignment="1">
      <alignment horizontal="center"/>
    </xf>
    <xf numFmtId="0" fontId="1" fillId="0" borderId="95" xfId="119" applyBorder="1" applyAlignment="1">
      <alignment horizontal="center"/>
    </xf>
    <xf numFmtId="0" fontId="1" fillId="0" borderId="95" xfId="119" applyFill="1" applyBorder="1" applyAlignment="1">
      <alignment horizontal="center"/>
    </xf>
    <xf numFmtId="0" fontId="45" fillId="11" borderId="95" xfId="119" applyFont="1" applyFill="1" applyBorder="1" applyAlignment="1">
      <alignment horizontal="center"/>
    </xf>
    <xf numFmtId="183" fontId="1" fillId="0" borderId="114" xfId="119" applyNumberFormat="1" applyBorder="1" applyAlignment="1">
      <alignment horizontal="center"/>
    </xf>
    <xf numFmtId="183" fontId="1" fillId="0" borderId="115" xfId="119" applyNumberFormat="1" applyBorder="1" applyAlignment="1">
      <alignment horizontal="center"/>
    </xf>
    <xf numFmtId="183" fontId="1" fillId="0" borderId="116" xfId="119" applyNumberFormat="1" applyBorder="1" applyAlignment="1">
      <alignment horizontal="center"/>
    </xf>
    <xf numFmtId="184" fontId="1" fillId="0" borderId="114" xfId="119" applyNumberFormat="1" applyBorder="1" applyAlignment="1">
      <alignment horizontal="center"/>
    </xf>
    <xf numFmtId="184" fontId="1" fillId="0" borderId="115" xfId="119" applyNumberFormat="1" applyBorder="1" applyAlignment="1">
      <alignment horizontal="center"/>
    </xf>
    <xf numFmtId="184" fontId="1" fillId="0" borderId="116" xfId="119" applyNumberFormat="1" applyBorder="1" applyAlignment="1">
      <alignment horizontal="center"/>
    </xf>
    <xf numFmtId="15" fontId="46" fillId="0" borderId="114" xfId="119" applyNumberFormat="1" applyFont="1" applyBorder="1" applyAlignment="1">
      <alignment horizontal="center" vertical="center" wrapText="1"/>
    </xf>
    <xf numFmtId="15" fontId="46" fillId="0" borderId="115" xfId="119" applyNumberFormat="1" applyFont="1" applyBorder="1" applyAlignment="1">
      <alignment horizontal="center" vertical="center" wrapText="1"/>
    </xf>
    <xf numFmtId="15" fontId="46" fillId="0" borderId="116" xfId="119" applyNumberFormat="1" applyFont="1" applyBorder="1" applyAlignment="1">
      <alignment horizontal="center" vertical="center" wrapText="1"/>
    </xf>
    <xf numFmtId="15" fontId="46" fillId="0" borderId="95" xfId="119" applyNumberFormat="1" applyFont="1" applyFill="1" applyBorder="1" applyAlignment="1">
      <alignment horizontal="center" vertical="center" wrapText="1"/>
    </xf>
    <xf numFmtId="0" fontId="6" fillId="0" borderId="0" xfId="111" applyFont="1" applyFill="1" applyBorder="1" applyAlignment="1">
      <alignment wrapText="1"/>
    </xf>
    <xf numFmtId="0" fontId="15" fillId="2" borderId="21" xfId="111"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182" fontId="14" fillId="3" borderId="21" xfId="111" applyNumberFormat="1" applyFont="1" applyFill="1" applyBorder="1" applyAlignment="1">
      <alignment horizontal="center" vertical="center" wrapText="1"/>
    </xf>
    <xf numFmtId="182" fontId="42" fillId="0" borderId="25" xfId="0" applyNumberFormat="1" applyFont="1" applyBorder="1" applyAlignment="1">
      <alignment horizontal="center" vertical="center" wrapText="1"/>
    </xf>
    <xf numFmtId="182" fontId="42" fillId="0" borderId="22" xfId="0" applyNumberFormat="1" applyFont="1" applyBorder="1" applyAlignment="1">
      <alignment horizontal="center" vertical="center" wrapText="1"/>
    </xf>
    <xf numFmtId="0" fontId="40" fillId="0" borderId="88" xfId="0" applyFont="1" applyBorder="1" applyAlignment="1">
      <alignment horizontal="center" vertical="center" textRotation="90" wrapText="1"/>
    </xf>
    <xf numFmtId="0" fontId="40" fillId="0" borderId="16" xfId="0" applyFont="1" applyBorder="1" applyAlignment="1">
      <alignment horizontal="center" vertical="center" textRotation="90" wrapText="1"/>
    </xf>
    <xf numFmtId="0" fontId="40" fillId="0" borderId="10" xfId="0" applyFont="1" applyBorder="1" applyAlignment="1">
      <alignment horizontal="center" vertical="center" textRotation="90" wrapText="1"/>
    </xf>
    <xf numFmtId="0" fontId="41" fillId="4" borderId="88" xfId="0" applyFont="1" applyFill="1" applyBorder="1" applyAlignment="1">
      <alignment horizontal="center" vertical="center" wrapText="1"/>
    </xf>
    <xf numFmtId="0" fontId="41" fillId="4" borderId="16" xfId="0" applyFont="1" applyFill="1" applyBorder="1" applyAlignment="1">
      <alignment horizontal="center" vertical="center" wrapText="1"/>
    </xf>
    <xf numFmtId="0" fontId="41" fillId="4" borderId="10" xfId="0" applyFont="1" applyFill="1" applyBorder="1" applyAlignment="1">
      <alignment horizontal="center" vertical="center" wrapText="1"/>
    </xf>
    <xf numFmtId="0" fontId="14" fillId="0" borderId="88" xfId="111" applyFont="1" applyFill="1" applyBorder="1" applyAlignment="1">
      <alignment horizontal="center" vertical="center" wrapText="1"/>
    </xf>
    <xf numFmtId="0" fontId="14" fillId="0" borderId="16" xfId="111" applyFont="1" applyFill="1" applyBorder="1" applyAlignment="1">
      <alignment horizontal="center" vertical="center" wrapText="1"/>
    </xf>
    <xf numFmtId="0" fontId="14" fillId="0" borderId="10" xfId="111" applyFont="1" applyFill="1" applyBorder="1" applyAlignment="1">
      <alignment horizontal="center" vertical="center" wrapText="1"/>
    </xf>
    <xf numFmtId="0" fontId="13" fillId="2" borderId="21" xfId="111" applyFont="1" applyFill="1" applyBorder="1" applyAlignment="1">
      <alignment horizontal="center" vertical="justify" wrapText="1"/>
    </xf>
    <xf numFmtId="0" fontId="5" fillId="2" borderId="25" xfId="0" applyFont="1" applyFill="1" applyBorder="1" applyAlignment="1">
      <alignment vertical="justify" wrapText="1"/>
    </xf>
    <xf numFmtId="0" fontId="5" fillId="2" borderId="22" xfId="0" applyFont="1" applyFill="1" applyBorder="1" applyAlignment="1">
      <alignment vertical="justify" wrapText="1"/>
    </xf>
    <xf numFmtId="0" fontId="5" fillId="2" borderId="25" xfId="0" applyFont="1" applyFill="1" applyBorder="1" applyAlignment="1">
      <alignment horizontal="center" vertical="justify" wrapText="1"/>
    </xf>
    <xf numFmtId="0" fontId="5" fillId="2" borderId="22" xfId="0" applyFont="1" applyFill="1" applyBorder="1" applyAlignment="1">
      <alignment horizontal="center" vertical="justify" wrapText="1"/>
    </xf>
    <xf numFmtId="0" fontId="13" fillId="0" borderId="23" xfId="111" applyFont="1" applyFill="1" applyBorder="1" applyAlignment="1">
      <alignment horizontal="center" vertical="center"/>
    </xf>
    <xf numFmtId="0" fontId="13" fillId="0" borderId="10" xfId="111" applyFont="1" applyFill="1" applyBorder="1" applyAlignment="1">
      <alignment horizontal="center" vertical="center"/>
    </xf>
    <xf numFmtId="0" fontId="15" fillId="0" borderId="7" xfId="111" applyFont="1" applyFill="1" applyBorder="1" applyAlignment="1">
      <alignment horizontal="center" vertical="center"/>
    </xf>
    <xf numFmtId="0" fontId="15" fillId="0" borderId="9" xfId="111" applyFont="1" applyFill="1" applyBorder="1" applyAlignment="1">
      <alignment horizontal="center" vertical="center"/>
    </xf>
    <xf numFmtId="0" fontId="15" fillId="0" borderId="24" xfId="111" applyFont="1" applyFill="1" applyBorder="1" applyAlignment="1">
      <alignment horizontal="center" vertical="center" wrapText="1"/>
    </xf>
    <xf numFmtId="0" fontId="15" fillId="0" borderId="12" xfId="111" applyFont="1" applyFill="1" applyBorder="1" applyAlignment="1">
      <alignment horizontal="center" vertical="center" wrapText="1"/>
    </xf>
    <xf numFmtId="10" fontId="21" fillId="0" borderId="91" xfId="110" applyNumberFormat="1" applyFont="1" applyBorder="1" applyAlignment="1">
      <alignment horizontal="center" vertical="center"/>
    </xf>
    <xf numFmtId="10" fontId="21" fillId="0" borderId="92" xfId="110" applyNumberFormat="1" applyFont="1" applyBorder="1" applyAlignment="1">
      <alignment horizontal="center" vertical="center"/>
    </xf>
    <xf numFmtId="10" fontId="21" fillId="0" borderId="93" xfId="110" applyNumberFormat="1" applyFont="1" applyBorder="1" applyAlignment="1">
      <alignment horizontal="center" vertical="center"/>
    </xf>
    <xf numFmtId="0" fontId="7" fillId="0" borderId="32" xfId="0" applyFont="1" applyBorder="1" applyAlignment="1">
      <alignment horizontal="center" vertical="center"/>
    </xf>
    <xf numFmtId="0" fontId="7" fillId="0" borderId="3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17" fontId="7" fillId="0" borderId="32" xfId="0" applyNumberFormat="1" applyFont="1" applyBorder="1" applyAlignment="1">
      <alignment horizontal="center" vertical="center"/>
    </xf>
    <xf numFmtId="0" fontId="7" fillId="0" borderId="33"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10" fontId="21" fillId="0" borderId="28" xfId="110" applyNumberFormat="1" applyFont="1" applyBorder="1" applyAlignment="1">
      <alignment horizontal="center" vertical="center"/>
    </xf>
    <xf numFmtId="10" fontId="21" fillId="0" borderId="29" xfId="110" applyNumberFormat="1" applyFont="1" applyBorder="1" applyAlignment="1">
      <alignment horizontal="center" vertical="center"/>
    </xf>
    <xf numFmtId="10" fontId="21" fillId="0" borderId="30" xfId="110" applyNumberFormat="1" applyFont="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17" fontId="7" fillId="0" borderId="20" xfId="0" applyNumberFormat="1" applyFont="1" applyFill="1" applyBorder="1" applyAlignment="1">
      <alignment horizontal="center" vertical="center"/>
    </xf>
    <xf numFmtId="0" fontId="6" fillId="0" borderId="0" xfId="0" applyFont="1" applyAlignment="1">
      <alignment vertical="center"/>
    </xf>
    <xf numFmtId="0" fontId="62" fillId="0" borderId="0" xfId="0" applyFont="1" applyAlignment="1">
      <alignment horizontal="center" vertical="center"/>
    </xf>
    <xf numFmtId="0" fontId="13" fillId="0" borderId="0" xfId="0" applyFont="1" applyAlignment="1">
      <alignment vertical="center"/>
    </xf>
    <xf numFmtId="0" fontId="62" fillId="0" borderId="9" xfId="0" applyFont="1" applyBorder="1" applyAlignment="1">
      <alignment horizontal="center" vertical="center"/>
    </xf>
    <xf numFmtId="0" fontId="62" fillId="0" borderId="115" xfId="0" applyFont="1" applyBorder="1" applyAlignment="1">
      <alignment horizontal="left" vertical="center"/>
    </xf>
    <xf numFmtId="0" fontId="62" fillId="0" borderId="114" xfId="0" applyFont="1" applyBorder="1" applyAlignment="1">
      <alignment horizontal="center" vertical="center" wrapText="1"/>
    </xf>
    <xf numFmtId="0" fontId="62" fillId="0" borderId="115" xfId="0" applyFont="1" applyBorder="1" applyAlignment="1">
      <alignment horizontal="center" vertical="center" wrapText="1"/>
    </xf>
    <xf numFmtId="0" fontId="63" fillId="0" borderId="117" xfId="0" applyFont="1" applyBorder="1" applyAlignment="1">
      <alignment horizontal="center" vertical="center"/>
    </xf>
    <xf numFmtId="0" fontId="63" fillId="0" borderId="77" xfId="0" applyFont="1" applyBorder="1" applyAlignment="1">
      <alignment horizontal="center" vertical="justify"/>
    </xf>
    <xf numFmtId="0" fontId="13" fillId="0" borderId="0" xfId="0" applyFont="1"/>
    <xf numFmtId="0" fontId="63" fillId="0" borderId="16" xfId="0" applyFont="1" applyBorder="1" applyAlignment="1">
      <alignment horizontal="center" vertical="center"/>
    </xf>
    <xf numFmtId="0" fontId="63" fillId="0" borderId="10" xfId="0" applyFont="1" applyBorder="1" applyAlignment="1">
      <alignment horizontal="center" vertical="center"/>
    </xf>
    <xf numFmtId="0" fontId="64" fillId="0" borderId="118" xfId="0" applyFont="1" applyBorder="1" applyAlignment="1">
      <alignment horizontal="center" vertical="center" wrapText="1"/>
    </xf>
    <xf numFmtId="0" fontId="64" fillId="0" borderId="119" xfId="0" applyFont="1" applyBorder="1" applyAlignment="1">
      <alignment horizontal="center" vertical="center" wrapText="1"/>
    </xf>
    <xf numFmtId="0" fontId="63" fillId="0" borderId="53" xfId="0" applyFont="1" applyBorder="1" applyAlignment="1">
      <alignment horizontal="center" vertical="center"/>
    </xf>
    <xf numFmtId="0" fontId="63" fillId="0" borderId="53" xfId="0" applyFont="1" applyBorder="1" applyAlignment="1">
      <alignment horizontal="center" vertical="center" wrapText="1"/>
    </xf>
    <xf numFmtId="0" fontId="63" fillId="0" borderId="117" xfId="0" applyFont="1" applyBorder="1" applyAlignment="1">
      <alignment horizontal="center" vertical="center"/>
    </xf>
    <xf numFmtId="0" fontId="64" fillId="15" borderId="118" xfId="0" applyFont="1" applyFill="1" applyBorder="1" applyAlignment="1">
      <alignment horizontal="center" vertical="center" wrapText="1"/>
    </xf>
    <xf numFmtId="0" fontId="64" fillId="15" borderId="120" xfId="0" applyFont="1" applyFill="1" applyBorder="1" applyAlignment="1">
      <alignment horizontal="center" vertical="center" wrapText="1"/>
    </xf>
    <xf numFmtId="0" fontId="65" fillId="6" borderId="53" xfId="0" applyFont="1" applyFill="1" applyBorder="1" applyAlignment="1">
      <alignment vertical="center"/>
    </xf>
    <xf numFmtId="0" fontId="65" fillId="0" borderId="53" xfId="0" applyFont="1" applyBorder="1" applyAlignment="1">
      <alignment horizontal="center" vertical="center" wrapText="1"/>
    </xf>
    <xf numFmtId="0" fontId="65" fillId="16" borderId="53" xfId="0" applyFont="1" applyFill="1" applyBorder="1" applyAlignment="1">
      <alignment vertical="center" wrapText="1"/>
    </xf>
    <xf numFmtId="0" fontId="65" fillId="16" borderId="53" xfId="0" applyFont="1" applyFill="1" applyBorder="1" applyAlignment="1">
      <alignment horizontal="center" vertical="center" wrapText="1"/>
    </xf>
    <xf numFmtId="0" fontId="65" fillId="16" borderId="53" xfId="0" applyFont="1" applyFill="1" applyBorder="1" applyAlignment="1">
      <alignment horizontal="center" vertical="center"/>
    </xf>
    <xf numFmtId="0" fontId="63" fillId="0" borderId="10" xfId="0" applyFont="1" applyBorder="1" applyAlignment="1">
      <alignment horizontal="center" vertical="center"/>
    </xf>
    <xf numFmtId="0" fontId="65" fillId="16" borderId="53" xfId="0" applyFont="1" applyFill="1" applyBorder="1" applyAlignment="1">
      <alignment vertical="center"/>
    </xf>
    <xf numFmtId="0" fontId="65" fillId="6" borderId="53" xfId="0" applyFont="1" applyFill="1" applyBorder="1" applyAlignment="1">
      <alignment vertical="center" wrapText="1"/>
    </xf>
    <xf numFmtId="0" fontId="65" fillId="6" borderId="117" xfId="0" applyFont="1" applyFill="1" applyBorder="1" applyAlignment="1">
      <alignment vertical="center" wrapText="1"/>
    </xf>
    <xf numFmtId="0" fontId="65" fillId="16" borderId="117" xfId="0" applyFont="1" applyFill="1" applyBorder="1" applyAlignment="1">
      <alignment vertical="center" wrapText="1"/>
    </xf>
    <xf numFmtId="0" fontId="65" fillId="6" borderId="117" xfId="0" applyFont="1" applyFill="1" applyBorder="1" applyAlignment="1">
      <alignment vertical="center"/>
    </xf>
    <xf numFmtId="0" fontId="63" fillId="0" borderId="53" xfId="0" applyFont="1" applyBorder="1" applyAlignment="1">
      <alignment horizontal="center" vertical="center"/>
    </xf>
    <xf numFmtId="0" fontId="63" fillId="3" borderId="53" xfId="0" applyFont="1" applyFill="1" applyBorder="1" applyAlignment="1">
      <alignment horizontal="center" vertical="center"/>
    </xf>
    <xf numFmtId="0" fontId="63" fillId="14" borderId="53" xfId="0" applyFont="1" applyFill="1" applyBorder="1" applyAlignment="1">
      <alignment horizontal="center" vertical="center"/>
    </xf>
    <xf numFmtId="0" fontId="14" fillId="0" borderId="0" xfId="0" applyFont="1" applyAlignment="1">
      <alignment horizontal="center" vertical="center"/>
    </xf>
    <xf numFmtId="0" fontId="66" fillId="0" borderId="0" xfId="0" applyFont="1" applyAlignment="1">
      <alignment horizontal="center" vertical="center"/>
    </xf>
    <xf numFmtId="0" fontId="66" fillId="0" borderId="0" xfId="0" applyFont="1" applyAlignment="1">
      <alignment horizontal="justify" vertical="justify"/>
    </xf>
    <xf numFmtId="0" fontId="66" fillId="0" borderId="0" xfId="0" applyFont="1" applyAlignment="1">
      <alignment horizontal="center" vertical="justify"/>
    </xf>
    <xf numFmtId="0" fontId="67" fillId="0" borderId="0" xfId="0" applyFont="1" applyAlignment="1">
      <alignment horizontal="justify" vertical="justify"/>
    </xf>
    <xf numFmtId="0" fontId="67" fillId="0" borderId="0" xfId="0" applyFont="1" applyAlignment="1">
      <alignment horizontal="center" vertical="justify"/>
    </xf>
    <xf numFmtId="0" fontId="67" fillId="0" borderId="0" xfId="0" applyFont="1" applyAlignment="1">
      <alignment horizontal="left" vertical="top"/>
    </xf>
    <xf numFmtId="0" fontId="67" fillId="0" borderId="0" xfId="0" applyFont="1" applyAlignment="1">
      <alignment horizontal="center" vertical="top"/>
    </xf>
    <xf numFmtId="0" fontId="68" fillId="0" borderId="0" xfId="0" applyFont="1"/>
    <xf numFmtId="0" fontId="68" fillId="0" borderId="0" xfId="0" applyFont="1" applyAlignment="1">
      <alignment horizontal="center"/>
    </xf>
    <xf numFmtId="0" fontId="66" fillId="0" borderId="0" xfId="0" applyFont="1"/>
    <xf numFmtId="0" fontId="66" fillId="0" borderId="0" xfId="0" applyFont="1" applyAlignment="1">
      <alignment horizontal="center"/>
    </xf>
    <xf numFmtId="0" fontId="13" fillId="0" borderId="0" xfId="0" applyFont="1" applyAlignment="1">
      <alignment horizontal="center" vertical="center"/>
    </xf>
    <xf numFmtId="0" fontId="14" fillId="0" borderId="0" xfId="0" applyFont="1" applyAlignment="1">
      <alignment horizontal="left" vertical="top"/>
    </xf>
    <xf numFmtId="0" fontId="14" fillId="0" borderId="0" xfId="0" applyFont="1" applyAlignment="1">
      <alignment horizontal="center" vertical="top"/>
    </xf>
    <xf numFmtId="0" fontId="12" fillId="0" borderId="0" xfId="0" applyFont="1"/>
    <xf numFmtId="0" fontId="12" fillId="0" borderId="0" xfId="0" applyFont="1" applyAlignment="1">
      <alignment horizontal="center"/>
    </xf>
    <xf numFmtId="0" fontId="13" fillId="0" borderId="0" xfId="0" applyFont="1" applyAlignment="1">
      <alignment horizontal="justify" vertical="justify"/>
    </xf>
    <xf numFmtId="0" fontId="13" fillId="0" borderId="0" xfId="0" applyFont="1" applyAlignment="1">
      <alignment horizontal="center" vertical="justify"/>
    </xf>
    <xf numFmtId="0" fontId="9" fillId="0" borderId="0" xfId="111" applyFont="1" applyAlignment="1">
      <alignment vertical="center"/>
    </xf>
    <xf numFmtId="0" fontId="6" fillId="0" borderId="0" xfId="111" applyFont="1" applyAlignment="1">
      <alignment vertical="center"/>
    </xf>
    <xf numFmtId="0" fontId="2" fillId="0" borderId="0" xfId="111" applyAlignment="1">
      <alignment vertical="center"/>
    </xf>
    <xf numFmtId="0" fontId="0" fillId="0" borderId="0" xfId="0" applyAlignment="1">
      <alignment horizontal="left" wrapText="1"/>
    </xf>
    <xf numFmtId="0" fontId="13" fillId="0" borderId="117" xfId="111" applyFont="1" applyBorder="1" applyAlignment="1">
      <alignment horizontal="center" vertical="center"/>
    </xf>
    <xf numFmtId="0" fontId="15" fillId="0" borderId="26" xfId="111" applyFont="1" applyBorder="1" applyAlignment="1">
      <alignment horizontal="center" vertical="center"/>
    </xf>
    <xf numFmtId="0" fontId="69" fillId="0" borderId="53" xfId="111" applyFont="1" applyBorder="1" applyAlignment="1">
      <alignment horizontal="center" vertical="center" wrapText="1"/>
    </xf>
    <xf numFmtId="0" fontId="13" fillId="0" borderId="10" xfId="111" applyFont="1" applyBorder="1" applyAlignment="1">
      <alignment horizontal="center" vertical="center"/>
    </xf>
    <xf numFmtId="0" fontId="15" fillId="0" borderId="11" xfId="111" applyFont="1" applyBorder="1" applyAlignment="1">
      <alignment horizontal="center" vertical="center"/>
    </xf>
    <xf numFmtId="0" fontId="15" fillId="0" borderId="53" xfId="111" applyFont="1" applyBorder="1" applyAlignment="1">
      <alignment horizontal="center" vertical="center"/>
    </xf>
    <xf numFmtId="0" fontId="15" fillId="0" borderId="53" xfId="111" applyFont="1" applyBorder="1" applyAlignment="1">
      <alignment horizontal="center" vertical="center" wrapText="1"/>
    </xf>
    <xf numFmtId="0" fontId="15" fillId="0" borderId="16" xfId="111" applyFont="1" applyBorder="1" applyAlignment="1">
      <alignment horizontal="center" vertical="center"/>
    </xf>
    <xf numFmtId="0" fontId="15" fillId="15" borderId="118" xfId="111" applyFont="1" applyFill="1" applyBorder="1" applyAlignment="1">
      <alignment horizontal="center" vertical="center"/>
    </xf>
    <xf numFmtId="0" fontId="15" fillId="15" borderId="120" xfId="111" applyFont="1" applyFill="1" applyBorder="1" applyAlignment="1">
      <alignment horizontal="center" vertical="center"/>
    </xf>
    <xf numFmtId="0" fontId="13" fillId="0" borderId="53" xfId="111" applyFont="1" applyBorder="1" applyAlignment="1">
      <alignment horizontal="justify" vertical="center"/>
    </xf>
    <xf numFmtId="167" fontId="15" fillId="0" borderId="53" xfId="120" applyNumberFormat="1" applyFont="1" applyFill="1" applyBorder="1" applyAlignment="1">
      <alignment horizontal="center" vertical="center" wrapText="1"/>
    </xf>
    <xf numFmtId="0" fontId="15" fillId="0" borderId="16" xfId="111" applyFont="1" applyBorder="1" applyAlignment="1">
      <alignment vertical="center"/>
    </xf>
    <xf numFmtId="0" fontId="15" fillId="0" borderId="112" xfId="111" applyFont="1" applyBorder="1" applyAlignment="1">
      <alignment horizontal="center" vertical="center"/>
    </xf>
    <xf numFmtId="0" fontId="13" fillId="0" borderId="109" xfId="111" applyFont="1" applyBorder="1" applyAlignment="1">
      <alignment horizontal="justify" vertical="center"/>
    </xf>
    <xf numFmtId="0" fontId="15" fillId="0" borderId="53" xfId="111" applyFont="1" applyBorder="1" applyAlignment="1">
      <alignment vertical="center" wrapText="1"/>
    </xf>
    <xf numFmtId="0" fontId="14" fillId="0" borderId="4" xfId="111" applyFont="1" applyBorder="1" applyAlignment="1">
      <alignment horizontal="center" vertical="center"/>
    </xf>
    <xf numFmtId="0" fontId="14" fillId="0" borderId="5" xfId="111" applyFont="1" applyBorder="1" applyAlignment="1">
      <alignment horizontal="center" vertical="center"/>
    </xf>
    <xf numFmtId="0" fontId="14" fillId="0" borderId="0" xfId="111" applyFont="1" applyAlignment="1">
      <alignment horizontal="center" vertical="center"/>
    </xf>
    <xf numFmtId="0" fontId="13" fillId="0" borderId="0" xfId="111" applyFont="1" applyAlignment="1">
      <alignment horizontal="center" vertical="center"/>
    </xf>
    <xf numFmtId="0" fontId="13" fillId="0" borderId="0" xfId="111" applyFont="1" applyAlignment="1">
      <alignment horizontal="justify" vertical="center"/>
    </xf>
    <xf numFmtId="0" fontId="13" fillId="0" borderId="0" xfId="111" applyFont="1" applyAlignment="1">
      <alignment vertical="center"/>
    </xf>
    <xf numFmtId="0" fontId="50" fillId="0" borderId="0" xfId="111" applyFont="1" applyAlignment="1">
      <alignment horizontal="left" vertical="center"/>
    </xf>
    <xf numFmtId="0" fontId="14" fillId="0" borderId="0" xfId="111" applyFont="1" applyAlignment="1">
      <alignment horizontal="left" vertical="center"/>
    </xf>
    <xf numFmtId="0" fontId="12" fillId="0" borderId="0" xfId="111" applyFont="1" applyAlignment="1">
      <alignment vertical="center"/>
    </xf>
  </cellXfs>
  <cellStyles count="128">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3"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4"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Millares" xfId="1" builtinId="3"/>
    <cellStyle name="Millares [0]" xfId="127" builtinId="6"/>
    <cellStyle name="Millares [0] 2" xfId="116" xr:uid="{00000000-0005-0000-0000-000066000000}"/>
    <cellStyle name="Millares 2" xfId="112" xr:uid="{00000000-0005-0000-0000-000067000000}"/>
    <cellStyle name="Millares 2 2" xfId="120" xr:uid="{00000000-0005-0000-0000-000068000000}"/>
    <cellStyle name="Millares 2 2 4" xfId="122" xr:uid="{00000000-0005-0000-0000-000069000000}"/>
    <cellStyle name="Millares 3" xfId="121" xr:uid="{00000000-0005-0000-0000-00006A000000}"/>
    <cellStyle name="Moneda" xfId="95" builtinId="4"/>
    <cellStyle name="Moneda [0]" xfId="126" builtinId="7"/>
    <cellStyle name="Moneda [0] 2" xfId="92" xr:uid="{00000000-0005-0000-0000-00006D000000}"/>
    <cellStyle name="Moneda [0] 3" xfId="123" xr:uid="{00000000-0005-0000-0000-00006E000000}"/>
    <cellStyle name="Moneda 10 2" xfId="124" xr:uid="{00000000-0005-0000-0000-00006F000000}"/>
    <cellStyle name="Moneda 2" xfId="107" xr:uid="{00000000-0005-0000-0000-000070000000}"/>
    <cellStyle name="Normal" xfId="0" builtinId="0"/>
    <cellStyle name="Normal 10" xfId="111" xr:uid="{00000000-0005-0000-0000-000072000000}"/>
    <cellStyle name="Normal 14" xfId="109" xr:uid="{00000000-0005-0000-0000-000073000000}"/>
    <cellStyle name="Normal 15" xfId="119" xr:uid="{00000000-0005-0000-0000-000074000000}"/>
    <cellStyle name="Normal 16" xfId="125" xr:uid="{00000000-0005-0000-0000-000075000000}"/>
    <cellStyle name="Normal 2" xfId="97" xr:uid="{00000000-0005-0000-0000-000076000000}"/>
    <cellStyle name="Normal 3" xfId="108" xr:uid="{00000000-0005-0000-0000-000077000000}"/>
    <cellStyle name="Normal 4" xfId="113" xr:uid="{00000000-0005-0000-0000-000078000000}"/>
    <cellStyle name="Normal 4 2" xfId="114" xr:uid="{00000000-0005-0000-0000-000079000000}"/>
    <cellStyle name="Normal 5" xfId="115" xr:uid="{00000000-0005-0000-0000-00007A000000}"/>
    <cellStyle name="Normal 6" xfId="117" xr:uid="{00000000-0005-0000-0000-00007B000000}"/>
    <cellStyle name="Normal 7" xfId="118" xr:uid="{00000000-0005-0000-0000-00007C000000}"/>
    <cellStyle name="Porcentaje" xfId="96" builtinId="5"/>
    <cellStyle name="Porcentaje 3" xfId="110" xr:uid="{00000000-0005-0000-0000-00007E000000}"/>
    <cellStyle name="Porcentual 2" xfId="106" xr:uid="{00000000-0005-0000-0000-00007F000000}"/>
  </cellStyles>
  <dxfs count="30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auto="1"/>
      </font>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alcChain" Target="calcChain.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12</xdr:col>
      <xdr:colOff>219075</xdr:colOff>
      <xdr:row>149</xdr:row>
      <xdr:rowOff>19046</xdr:rowOff>
    </xdr:from>
    <xdr:ext cx="2209800" cy="280988"/>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4333875" y="41300396"/>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151</xdr:row>
      <xdr:rowOff>19046</xdr:rowOff>
    </xdr:from>
    <xdr:ext cx="2209800" cy="280988"/>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4333875" y="41700446"/>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155</xdr:row>
      <xdr:rowOff>0</xdr:rowOff>
    </xdr:from>
    <xdr:ext cx="2209800" cy="280988"/>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4333875" y="42481500"/>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59</xdr:row>
      <xdr:rowOff>19046</xdr:rowOff>
    </xdr:from>
    <xdr:ext cx="2209800" cy="280988"/>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4333875" y="12001496"/>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61</xdr:row>
      <xdr:rowOff>19046</xdr:rowOff>
    </xdr:from>
    <xdr:ext cx="2209800" cy="280988"/>
    <xdr:sp macro="" textlink="">
      <xdr:nvSpPr>
        <xdr:cNvPr id="6" name="CuadroTexto 5">
          <a:extLst>
            <a:ext uri="{FF2B5EF4-FFF2-40B4-BE49-F238E27FC236}">
              <a16:creationId xmlns:a16="http://schemas.microsoft.com/office/drawing/2014/main" id="{00000000-0008-0000-0300-000006000000}"/>
            </a:ext>
          </a:extLst>
        </xdr:cNvPr>
        <xdr:cNvSpPr txBox="1"/>
      </xdr:nvSpPr>
      <xdr:spPr>
        <a:xfrm>
          <a:off x="4333875" y="12401546"/>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65</xdr:row>
      <xdr:rowOff>0</xdr:rowOff>
    </xdr:from>
    <xdr:ext cx="2209800" cy="280988"/>
    <xdr:sp macro="" textlink="">
      <xdr:nvSpPr>
        <xdr:cNvPr id="7" name="CuadroTexto 6">
          <a:extLst>
            <a:ext uri="{FF2B5EF4-FFF2-40B4-BE49-F238E27FC236}">
              <a16:creationId xmlns:a16="http://schemas.microsoft.com/office/drawing/2014/main" id="{00000000-0008-0000-0300-000007000000}"/>
            </a:ext>
          </a:extLst>
        </xdr:cNvPr>
        <xdr:cNvSpPr txBox="1"/>
      </xdr:nvSpPr>
      <xdr:spPr>
        <a:xfrm>
          <a:off x="4333875" y="13182600"/>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63</xdr:row>
      <xdr:rowOff>19046</xdr:rowOff>
    </xdr:from>
    <xdr:ext cx="2209800" cy="280988"/>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4333875" y="12801596"/>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65</xdr:row>
      <xdr:rowOff>0</xdr:rowOff>
    </xdr:from>
    <xdr:ext cx="2209800" cy="280988"/>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4333875" y="13182600"/>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153</xdr:row>
      <xdr:rowOff>19046</xdr:rowOff>
    </xdr:from>
    <xdr:ext cx="2209800" cy="280988"/>
    <xdr:sp macro="" textlink="">
      <xdr:nvSpPr>
        <xdr:cNvPr id="10" name="CuadroTexto 9">
          <a:extLst>
            <a:ext uri="{FF2B5EF4-FFF2-40B4-BE49-F238E27FC236}">
              <a16:creationId xmlns:a16="http://schemas.microsoft.com/office/drawing/2014/main" id="{00000000-0008-0000-0300-00000A000000}"/>
            </a:ext>
          </a:extLst>
        </xdr:cNvPr>
        <xdr:cNvSpPr txBox="1"/>
      </xdr:nvSpPr>
      <xdr:spPr>
        <a:xfrm>
          <a:off x="4333875" y="42100496"/>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104</xdr:row>
      <xdr:rowOff>19046</xdr:rowOff>
    </xdr:from>
    <xdr:ext cx="2209800" cy="280988"/>
    <xdr:sp macro="" textlink="">
      <xdr:nvSpPr>
        <xdr:cNvPr id="11" name="CuadroTexto 10">
          <a:extLst>
            <a:ext uri="{FF2B5EF4-FFF2-40B4-BE49-F238E27FC236}">
              <a16:creationId xmlns:a16="http://schemas.microsoft.com/office/drawing/2014/main" id="{00000000-0008-0000-0300-00000B000000}"/>
            </a:ext>
          </a:extLst>
        </xdr:cNvPr>
        <xdr:cNvSpPr txBox="1"/>
      </xdr:nvSpPr>
      <xdr:spPr>
        <a:xfrm>
          <a:off x="4333875" y="26612846"/>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106</xdr:row>
      <xdr:rowOff>19046</xdr:rowOff>
    </xdr:from>
    <xdr:ext cx="2209800" cy="280988"/>
    <xdr:sp macro="" textlink="">
      <xdr:nvSpPr>
        <xdr:cNvPr id="12" name="CuadroTexto 11">
          <a:extLst>
            <a:ext uri="{FF2B5EF4-FFF2-40B4-BE49-F238E27FC236}">
              <a16:creationId xmlns:a16="http://schemas.microsoft.com/office/drawing/2014/main" id="{00000000-0008-0000-0300-00000C000000}"/>
            </a:ext>
          </a:extLst>
        </xdr:cNvPr>
        <xdr:cNvSpPr txBox="1"/>
      </xdr:nvSpPr>
      <xdr:spPr>
        <a:xfrm>
          <a:off x="4333875" y="27012896"/>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110</xdr:row>
      <xdr:rowOff>0</xdr:rowOff>
    </xdr:from>
    <xdr:ext cx="2209800" cy="280988"/>
    <xdr:sp macro="" textlink="">
      <xdr:nvSpPr>
        <xdr:cNvPr id="13" name="CuadroTexto 12">
          <a:extLst>
            <a:ext uri="{FF2B5EF4-FFF2-40B4-BE49-F238E27FC236}">
              <a16:creationId xmlns:a16="http://schemas.microsoft.com/office/drawing/2014/main" id="{00000000-0008-0000-0300-00000D000000}"/>
            </a:ext>
          </a:extLst>
        </xdr:cNvPr>
        <xdr:cNvSpPr txBox="1"/>
      </xdr:nvSpPr>
      <xdr:spPr>
        <a:xfrm>
          <a:off x="4333875" y="27793950"/>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oneCellAnchor>
    <xdr:from>
      <xdr:col>12</xdr:col>
      <xdr:colOff>219075</xdr:colOff>
      <xdr:row>108</xdr:row>
      <xdr:rowOff>19046</xdr:rowOff>
    </xdr:from>
    <xdr:ext cx="2209800" cy="280988"/>
    <xdr:sp macro="" textlink="">
      <xdr:nvSpPr>
        <xdr:cNvPr id="14" name="CuadroTexto 13">
          <a:extLst>
            <a:ext uri="{FF2B5EF4-FFF2-40B4-BE49-F238E27FC236}">
              <a16:creationId xmlns:a16="http://schemas.microsoft.com/office/drawing/2014/main" id="{00000000-0008-0000-0300-00000E000000}"/>
            </a:ext>
          </a:extLst>
        </xdr:cNvPr>
        <xdr:cNvSpPr txBox="1"/>
      </xdr:nvSpPr>
      <xdr:spPr>
        <a:xfrm>
          <a:off x="4333875" y="27412946"/>
          <a:ext cx="2209800" cy="28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0" i="0">
              <a:latin typeface="Cambria Math" panose="02040503050406030204" pitchFamily="18" charset="0"/>
            </a:rPr>
            <a:t>𝐶𝑜 𝑥 (((𝐸+𝐶𝑇+𝐶𝐹))/100)  −S.C.E.</a:t>
          </a:r>
          <a:endParaRPr lang="es-CO"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01%20VICERRECTORIA\PRESUPUESTO%20CIUDADELA\PRESUPUESTO%20PRIMERA%20ETAPA%20CIUDADELA%20SANTANDER%20PLIEGO%20LICITACIO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ngaritab/Downloads/PRESUPUESTOS%2017%20-%2010%20-%202013/21-PRESUPUESTO%20EL%20CARMEN%20-%20YARIMA/Gepa/PRECIOS%20INVIAS/apus%20febrero%20de%202012%20-%20GRUPO%20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USUARIO/Downloads/apus%20febrero%202012%20BOYACA%20(1)/apus%20febrero%20de%202012%20-%20GRUPO%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01%20VICERRECTORIA\02%20RESIDENCIAS%20UNIVERSITARIAS\DEFINITIVO_RESIDENCIA_UNIVERSITARIAS\28%20EVALUACION%20FINAL%20TECNICA%20-%20FINANCIERA%20-%20JURIDICA%20LP%20No.%2028-2017%20formul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STJKXNPW1\Downloads\PROYECTO%20RG-2013-005%20CIUDADELA%20UNIV-OK\Ciudadela%20Universitaria%20Norte%20Sede%20Santander%20V7-FINAL%20JEFE.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UNIVERSIDAD\2019\procesos%20de%20licitaci&#243;n\Licitaciones\EVALUACION%20TECNICA%20032.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Users\Planeacion2\Downloads\Users\ADOLFO%20ALONSO%20BUITRA\Documents\ADOLFO\Documentos_General_2010-2011\Obras_2010\Francisco_Calderon\Federacion_Cafeteros\Presupuesto_Federacion\PRESUPUESTO%20Y%20APUS%20608-MONIQUIRAMARZO.LXS.xlsm?FBE665A8" TargetMode="External"/><Relationship Id="rId1" Type="http://schemas.openxmlformats.org/officeDocument/2006/relationships/externalLinkPath" Target="file:///\\FBE665A8\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LIRIO/Acued%20y%20Alcant/Presup%20Colector%20Aux.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 val="14,01"/>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v>
          </cell>
          <cell r="C28" t="str">
            <v>ML</v>
          </cell>
          <cell r="D28">
            <v>20</v>
          </cell>
          <cell r="E28">
            <v>78930.5</v>
          </cell>
          <cell r="F28">
            <v>1578610</v>
          </cell>
          <cell r="G28">
            <v>1.7000000000000001E-4</v>
          </cell>
        </row>
        <row r="29">
          <cell r="A29">
            <v>2.09</v>
          </cell>
          <cell r="B29" t="str">
            <v xml:space="preserve">Acometida a tablero TDIEMER-1 Desde tablero TGD-SUBESTACION en Cable    3 x # 4 Cu.THHN + 1 x # 4  Cu.THHN + 1 x # 6 Cu THHN. Por cárcamo ,tubo PVC por canalización-incluye cable , M.O, marquillas identificación, amarras plasticas,DUCTO METALICO 20X 4 cm </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 xml:space="preserve">Suministro e instalación (Sobre puesto en pared  )Tablero TGRE-1- 3F- 5H - 208/120V  24 Circuitos. Barraje de cobre de 200 A  - puerta y chapa para interruptores termoganeticos en caja moldeada - llegada y salida en Bandeja porta cables tipo escalera con </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v>
          </cell>
          <cell r="C129" t="str">
            <v>UND</v>
          </cell>
          <cell r="D129">
            <v>12</v>
          </cell>
          <cell r="E129">
            <v>72464</v>
          </cell>
          <cell r="F129">
            <v>869568</v>
          </cell>
          <cell r="G129">
            <v>9.0000000000000006E-5</v>
          </cell>
        </row>
        <row r="130">
          <cell r="A130">
            <v>4.09</v>
          </cell>
          <cell r="B130" t="str">
            <v xml:space="preserve">Salida tomacorriente doble polo a tierra circuito REGULADO EN MURO -  MARCA LEVITON con conexión a tierra aislada del chasis y grado Hospital  - En tubo conduit PVC 1/2" (o 3/4" o 1" cuando se requiera) con accesorios , cajas PVC  octogonales (cajas 2x4  </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v>
          </cell>
          <cell r="C146" t="str">
            <v>UND</v>
          </cell>
          <cell r="D146">
            <v>1</v>
          </cell>
          <cell r="E146">
            <v>43288000</v>
          </cell>
          <cell r="F146">
            <v>43288000</v>
          </cell>
          <cell r="G146">
            <v>4.6499999999999996E-3</v>
          </cell>
        </row>
        <row r="147">
          <cell r="A147">
            <v>5.0199999999999996</v>
          </cell>
          <cell r="B147" t="str">
            <v xml:space="preserve">Suministro y construcción de sistema de puesta a tierra: malla de 4x4m, 9 varillas Cu-Cu, conductor No.2/0 Cu desnudo - uniones soldadas(soldadura exotermica). Incluye canalización en tubo pvc de 1" con cable de cobre desnudo 2/0 para conectar el SPT con </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 sheetId="23">
        <row r="4">
          <cell r="A4" t="str">
            <v>FECHA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sheetName val="VTE"/>
      <sheetName val="CALIFICACION PERSONAL"/>
      <sheetName val="CORREC. ARITM."/>
      <sheetName val="PROPUESTA ECONOMICA"/>
    </sheetNames>
    <sheetDataSet>
      <sheetData sheetId="0">
        <row r="4">
          <cell r="A4" t="str">
            <v>LICITACIÓN PÚBLICA N° 032-2019</v>
          </cell>
        </row>
        <row r="11">
          <cell r="F11" t="str">
            <v>VALOR/ OBSERVACION</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0326-01D1-4E7E-A952-390152129F9B}">
  <dimension ref="A1:H45"/>
  <sheetViews>
    <sheetView tabSelected="1" topLeftCell="A15" zoomScale="40" zoomScaleNormal="40" workbookViewId="0">
      <selection activeCell="D37" sqref="D37"/>
    </sheetView>
  </sheetViews>
  <sheetFormatPr baseColWidth="10" defaultColWidth="11.42578125" defaultRowHeight="12.75" x14ac:dyDescent="0.2"/>
  <cols>
    <col min="1" max="1" width="10" style="746" customWidth="1"/>
    <col min="2" max="2" width="108.140625" style="751" customWidth="1"/>
    <col min="3" max="3" width="24.85546875" style="752" customWidth="1"/>
    <col min="4" max="4" width="90.5703125" style="751" customWidth="1"/>
    <col min="5" max="5" width="22.28515625" style="752" customWidth="1"/>
    <col min="6" max="6" width="73.85546875" style="751" customWidth="1"/>
    <col min="7" max="7" width="22.140625" style="752" customWidth="1"/>
    <col min="8" max="8" width="86.28515625" style="751" customWidth="1"/>
    <col min="9" max="16384" width="11.42578125" style="710"/>
  </cols>
  <sheetData>
    <row r="1" spans="1:8" s="703" customFormat="1" ht="38.1" customHeight="1" x14ac:dyDescent="0.25">
      <c r="A1" s="701"/>
      <c r="B1" s="702" t="s">
        <v>28</v>
      </c>
      <c r="C1" s="702"/>
      <c r="D1" s="702"/>
      <c r="E1" s="702"/>
      <c r="F1" s="702"/>
      <c r="G1" s="702"/>
      <c r="H1" s="702"/>
    </row>
    <row r="2" spans="1:8" s="703" customFormat="1" ht="31.5" customHeight="1" x14ac:dyDescent="0.25">
      <c r="A2" s="701"/>
      <c r="B2" s="702" t="s">
        <v>944</v>
      </c>
      <c r="C2" s="702"/>
      <c r="D2" s="702"/>
      <c r="E2" s="702"/>
      <c r="F2" s="702"/>
      <c r="G2" s="702"/>
      <c r="H2" s="702"/>
    </row>
    <row r="3" spans="1:8" s="703" customFormat="1" ht="30.6" customHeight="1" x14ac:dyDescent="0.25">
      <c r="A3" s="701"/>
      <c r="B3" s="702" t="s">
        <v>945</v>
      </c>
      <c r="C3" s="702"/>
      <c r="D3" s="702"/>
      <c r="E3" s="702"/>
      <c r="F3" s="702"/>
      <c r="G3" s="702"/>
      <c r="H3" s="702"/>
    </row>
    <row r="4" spans="1:8" s="703" customFormat="1" ht="41.1" customHeight="1" x14ac:dyDescent="0.25">
      <c r="A4" s="701"/>
      <c r="B4" s="704" t="s">
        <v>946</v>
      </c>
      <c r="C4" s="704"/>
      <c r="D4" s="704"/>
      <c r="E4" s="704"/>
      <c r="F4" s="704"/>
      <c r="G4" s="704"/>
      <c r="H4" s="704"/>
    </row>
    <row r="5" spans="1:8" s="703" customFormat="1" ht="41.1" customHeight="1" x14ac:dyDescent="0.25">
      <c r="A5" s="701"/>
      <c r="B5" s="705" t="s">
        <v>947</v>
      </c>
      <c r="C5" s="705"/>
      <c r="D5" s="705"/>
      <c r="E5" s="705"/>
      <c r="F5" s="705"/>
      <c r="G5" s="705"/>
      <c r="H5" s="705"/>
    </row>
    <row r="6" spans="1:8" s="703" customFormat="1" ht="93" customHeight="1" x14ac:dyDescent="0.25">
      <c r="A6" s="701"/>
      <c r="B6" s="706" t="s">
        <v>948</v>
      </c>
      <c r="C6" s="707"/>
      <c r="D6" s="707"/>
      <c r="E6" s="707"/>
      <c r="F6" s="707"/>
      <c r="G6" s="707"/>
      <c r="H6" s="707"/>
    </row>
    <row r="7" spans="1:8" ht="38.450000000000003" customHeight="1" x14ac:dyDescent="0.2">
      <c r="A7" s="708" t="s">
        <v>0</v>
      </c>
      <c r="B7" s="708" t="s">
        <v>30</v>
      </c>
      <c r="C7" s="709">
        <v>1</v>
      </c>
      <c r="D7" s="709"/>
      <c r="E7" s="709">
        <v>2</v>
      </c>
      <c r="F7" s="709"/>
      <c r="G7" s="709">
        <v>3</v>
      </c>
      <c r="H7" s="709"/>
    </row>
    <row r="8" spans="1:8" ht="99" customHeight="1" x14ac:dyDescent="0.2">
      <c r="A8" s="711"/>
      <c r="B8" s="712"/>
      <c r="C8" s="713" t="s">
        <v>709</v>
      </c>
      <c r="D8" s="714"/>
      <c r="E8" s="713" t="s">
        <v>949</v>
      </c>
      <c r="F8" s="714"/>
      <c r="G8" s="713" t="s">
        <v>711</v>
      </c>
      <c r="H8" s="714"/>
    </row>
    <row r="9" spans="1:8" ht="50.1" customHeight="1" x14ac:dyDescent="0.2">
      <c r="A9" s="712"/>
      <c r="B9" s="715" t="s">
        <v>31</v>
      </c>
      <c r="C9" s="715" t="s">
        <v>32</v>
      </c>
      <c r="D9" s="716" t="s">
        <v>950</v>
      </c>
      <c r="E9" s="715" t="s">
        <v>32</v>
      </c>
      <c r="F9" s="716" t="s">
        <v>950</v>
      </c>
      <c r="G9" s="715" t="s">
        <v>32</v>
      </c>
      <c r="H9" s="716" t="s">
        <v>950</v>
      </c>
    </row>
    <row r="10" spans="1:8" ht="52.5" customHeight="1" x14ac:dyDescent="0.2">
      <c r="A10" s="717"/>
      <c r="B10" s="718" t="s">
        <v>951</v>
      </c>
      <c r="C10" s="719"/>
      <c r="D10" s="719"/>
      <c r="E10" s="719"/>
      <c r="F10" s="719"/>
      <c r="G10" s="719"/>
      <c r="H10" s="719"/>
    </row>
    <row r="11" spans="1:8" ht="57.75" customHeight="1" x14ac:dyDescent="0.2">
      <c r="A11" s="715">
        <v>1</v>
      </c>
      <c r="B11" s="720" t="s">
        <v>952</v>
      </c>
      <c r="C11" s="721" t="s">
        <v>386</v>
      </c>
      <c r="D11" s="722"/>
      <c r="E11" s="721" t="s">
        <v>386</v>
      </c>
      <c r="F11" s="723"/>
      <c r="G11" s="724" t="s">
        <v>386</v>
      </c>
      <c r="H11" s="722"/>
    </row>
    <row r="12" spans="1:8" ht="36" customHeight="1" x14ac:dyDescent="0.2">
      <c r="A12" s="725">
        <v>2</v>
      </c>
      <c r="B12" s="720" t="s">
        <v>953</v>
      </c>
      <c r="C12" s="724" t="s">
        <v>386</v>
      </c>
      <c r="D12" s="726"/>
      <c r="E12" s="721" t="s">
        <v>386</v>
      </c>
      <c r="F12" s="722"/>
      <c r="G12" s="724" t="s">
        <v>386</v>
      </c>
      <c r="H12" s="726"/>
    </row>
    <row r="13" spans="1:8" ht="221.25" customHeight="1" x14ac:dyDescent="0.2">
      <c r="A13" s="715">
        <v>3</v>
      </c>
      <c r="B13" s="720" t="s">
        <v>954</v>
      </c>
      <c r="C13" s="721" t="s">
        <v>386</v>
      </c>
      <c r="D13" s="722"/>
      <c r="E13" s="721" t="s">
        <v>386</v>
      </c>
      <c r="F13" s="722" t="s">
        <v>955</v>
      </c>
      <c r="G13" s="721" t="s">
        <v>388</v>
      </c>
      <c r="H13" s="722" t="s">
        <v>956</v>
      </c>
    </row>
    <row r="14" spans="1:8" ht="324" x14ac:dyDescent="0.2">
      <c r="A14" s="715">
        <v>4</v>
      </c>
      <c r="B14" s="720" t="s">
        <v>957</v>
      </c>
      <c r="C14" s="724" t="s">
        <v>386</v>
      </c>
      <c r="D14" s="726"/>
      <c r="E14" s="721" t="s">
        <v>388</v>
      </c>
      <c r="F14" s="722" t="s">
        <v>958</v>
      </c>
      <c r="G14" s="724" t="s">
        <v>386</v>
      </c>
      <c r="H14" s="726"/>
    </row>
    <row r="15" spans="1:8" ht="66.75" customHeight="1" x14ac:dyDescent="0.2">
      <c r="A15" s="725">
        <v>5</v>
      </c>
      <c r="B15" s="727" t="s">
        <v>959</v>
      </c>
      <c r="C15" s="724" t="s">
        <v>386</v>
      </c>
      <c r="D15" s="726"/>
      <c r="E15" s="721" t="s">
        <v>386</v>
      </c>
      <c r="F15" s="722"/>
      <c r="G15" s="724" t="s">
        <v>386</v>
      </c>
      <c r="H15" s="726"/>
    </row>
    <row r="16" spans="1:8" ht="39.75" customHeight="1" x14ac:dyDescent="0.2">
      <c r="A16" s="715">
        <v>6</v>
      </c>
      <c r="B16" s="720" t="s">
        <v>960</v>
      </c>
      <c r="C16" s="724" t="s">
        <v>386</v>
      </c>
      <c r="D16" s="726"/>
      <c r="E16" s="724" t="s">
        <v>386</v>
      </c>
      <c r="F16" s="726"/>
      <c r="G16" s="724" t="s">
        <v>386</v>
      </c>
      <c r="H16" s="726"/>
    </row>
    <row r="17" spans="1:8" ht="54" x14ac:dyDescent="0.2">
      <c r="A17" s="715">
        <v>7</v>
      </c>
      <c r="B17" s="727" t="s">
        <v>961</v>
      </c>
      <c r="C17" s="724" t="s">
        <v>386</v>
      </c>
      <c r="D17" s="722" t="s">
        <v>955</v>
      </c>
      <c r="E17" s="723" t="s">
        <v>386</v>
      </c>
      <c r="F17" s="722"/>
      <c r="G17" s="723" t="s">
        <v>386</v>
      </c>
      <c r="H17" s="722"/>
    </row>
    <row r="18" spans="1:8" ht="49.5" customHeight="1" x14ac:dyDescent="0.2">
      <c r="A18" s="725">
        <v>8</v>
      </c>
      <c r="B18" s="720" t="s">
        <v>962</v>
      </c>
      <c r="C18" s="724" t="s">
        <v>386</v>
      </c>
      <c r="D18" s="726"/>
      <c r="E18" s="721" t="s">
        <v>386</v>
      </c>
      <c r="F18" s="722"/>
      <c r="G18" s="724" t="s">
        <v>386</v>
      </c>
      <c r="H18" s="726"/>
    </row>
    <row r="19" spans="1:8" ht="63.75" customHeight="1" x14ac:dyDescent="0.2">
      <c r="A19" s="715">
        <v>9</v>
      </c>
      <c r="B19" s="727" t="s">
        <v>963</v>
      </c>
      <c r="C19" s="721"/>
      <c r="D19" s="722"/>
      <c r="E19" s="721"/>
      <c r="F19" s="722"/>
      <c r="G19" s="721"/>
      <c r="H19" s="722"/>
    </row>
    <row r="20" spans="1:8" ht="54" x14ac:dyDescent="0.2">
      <c r="A20" s="715">
        <v>10</v>
      </c>
      <c r="B20" s="728" t="s">
        <v>964</v>
      </c>
      <c r="C20" s="724" t="s">
        <v>386</v>
      </c>
      <c r="D20" s="729"/>
      <c r="E20" s="721" t="s">
        <v>386</v>
      </c>
      <c r="F20" s="729"/>
      <c r="G20" s="724" t="s">
        <v>386</v>
      </c>
      <c r="H20" s="729"/>
    </row>
    <row r="21" spans="1:8" ht="40.5" customHeight="1" x14ac:dyDescent="0.2">
      <c r="A21" s="725">
        <v>11</v>
      </c>
      <c r="B21" s="730" t="s">
        <v>965</v>
      </c>
      <c r="C21" s="724" t="s">
        <v>386</v>
      </c>
      <c r="D21" s="729"/>
      <c r="E21" s="721" t="s">
        <v>386</v>
      </c>
      <c r="F21" s="729"/>
      <c r="G21" s="724" t="s">
        <v>386</v>
      </c>
      <c r="H21" s="729"/>
    </row>
    <row r="22" spans="1:8" s="734" customFormat="1" ht="46.5" customHeight="1" x14ac:dyDescent="0.25">
      <c r="A22" s="731" t="s">
        <v>34</v>
      </c>
      <c r="B22" s="731"/>
      <c r="C22" s="732" t="s">
        <v>966</v>
      </c>
      <c r="D22" s="732"/>
      <c r="E22" s="733" t="s">
        <v>967</v>
      </c>
      <c r="F22" s="733"/>
      <c r="G22" s="733" t="s">
        <v>967</v>
      </c>
      <c r="H22" s="733"/>
    </row>
    <row r="23" spans="1:8" ht="20.25" x14ac:dyDescent="0.2">
      <c r="A23" s="735"/>
      <c r="B23" s="736"/>
      <c r="C23" s="737"/>
      <c r="D23" s="736"/>
      <c r="E23" s="737"/>
      <c r="F23" s="736"/>
      <c r="G23" s="737"/>
      <c r="H23" s="736"/>
    </row>
    <row r="24" spans="1:8" ht="18.75" customHeight="1" x14ac:dyDescent="0.2">
      <c r="A24" s="735"/>
      <c r="B24" s="738"/>
      <c r="C24" s="739"/>
      <c r="D24" s="738"/>
      <c r="E24" s="739"/>
      <c r="F24" s="738"/>
      <c r="G24" s="739"/>
      <c r="H24" s="738"/>
    </row>
    <row r="25" spans="1:8" ht="12.75" customHeight="1" x14ac:dyDescent="0.2">
      <c r="A25" s="735"/>
      <c r="B25" s="736"/>
      <c r="C25" s="737"/>
      <c r="D25" s="736"/>
      <c r="E25" s="737"/>
      <c r="F25" s="736"/>
      <c r="G25" s="737"/>
      <c r="H25" s="736"/>
    </row>
    <row r="26" spans="1:8" ht="17.25" customHeight="1" x14ac:dyDescent="0.2">
      <c r="A26" s="735"/>
      <c r="B26" s="740"/>
      <c r="C26" s="741"/>
      <c r="D26" s="740"/>
      <c r="E26" s="741"/>
      <c r="F26" s="740"/>
      <c r="G26" s="741"/>
      <c r="H26" s="740"/>
    </row>
    <row r="27" spans="1:8" ht="22.5" customHeight="1" x14ac:dyDescent="0.3">
      <c r="A27" s="735"/>
      <c r="B27" s="742" t="s">
        <v>37</v>
      </c>
      <c r="C27" s="743"/>
      <c r="D27" s="742"/>
      <c r="E27" s="743"/>
      <c r="F27" s="742"/>
      <c r="G27" s="743"/>
      <c r="H27" s="742"/>
    </row>
    <row r="28" spans="1:8" ht="22.5" customHeight="1" x14ac:dyDescent="0.3">
      <c r="A28" s="735"/>
      <c r="B28" s="742" t="s">
        <v>38</v>
      </c>
      <c r="C28" s="743"/>
      <c r="D28" s="742"/>
      <c r="E28" s="743"/>
      <c r="F28" s="742"/>
      <c r="G28" s="743"/>
      <c r="H28" s="742"/>
    </row>
    <row r="29" spans="1:8" ht="22.5" customHeight="1" x14ac:dyDescent="0.3">
      <c r="A29" s="735"/>
      <c r="B29" s="742" t="s">
        <v>39</v>
      </c>
      <c r="C29" s="743"/>
      <c r="D29" s="742"/>
      <c r="E29" s="743"/>
      <c r="F29" s="742"/>
      <c r="G29" s="743"/>
      <c r="H29" s="742"/>
    </row>
    <row r="30" spans="1:8" ht="20.45" customHeight="1" x14ac:dyDescent="0.3">
      <c r="A30" s="735"/>
      <c r="B30" s="744" t="s">
        <v>968</v>
      </c>
      <c r="C30" s="745"/>
      <c r="D30" s="744"/>
      <c r="E30" s="745"/>
      <c r="F30" s="744"/>
      <c r="G30" s="745"/>
      <c r="H30" s="744"/>
    </row>
    <row r="31" spans="1:8" ht="14.25" customHeight="1" x14ac:dyDescent="0.3">
      <c r="A31" s="735"/>
      <c r="B31" s="744"/>
      <c r="C31" s="745"/>
      <c r="D31" s="744"/>
      <c r="E31" s="745"/>
      <c r="F31" s="744"/>
      <c r="G31" s="745"/>
      <c r="H31" s="744"/>
    </row>
    <row r="32" spans="1:8" ht="14.25" customHeight="1" x14ac:dyDescent="0.2">
      <c r="B32" s="747"/>
      <c r="C32" s="748"/>
      <c r="D32" s="747"/>
      <c r="E32" s="748"/>
      <c r="F32" s="747"/>
      <c r="G32" s="748"/>
      <c r="H32" s="747"/>
    </row>
    <row r="33" spans="1:8" ht="14.25" customHeight="1" x14ac:dyDescent="0.25">
      <c r="B33" s="749"/>
      <c r="C33" s="750"/>
      <c r="D33" s="749"/>
      <c r="E33" s="750"/>
      <c r="F33" s="749"/>
      <c r="G33" s="750"/>
      <c r="H33" s="749"/>
    </row>
    <row r="34" spans="1:8" ht="14.25" customHeight="1" x14ac:dyDescent="0.25">
      <c r="B34" s="749"/>
      <c r="C34" s="750"/>
      <c r="D34" s="749"/>
      <c r="E34" s="750"/>
      <c r="F34" s="749"/>
      <c r="G34" s="750"/>
      <c r="H34" s="749"/>
    </row>
    <row r="35" spans="1:8" ht="14.25" customHeight="1" x14ac:dyDescent="0.25">
      <c r="B35" s="749"/>
      <c r="C35" s="750"/>
      <c r="D35" s="749"/>
      <c r="E35" s="750"/>
      <c r="F35" s="749"/>
      <c r="G35" s="750"/>
      <c r="H35" s="749"/>
    </row>
    <row r="41" spans="1:8" s="751" customFormat="1" x14ac:dyDescent="0.25">
      <c r="A41" s="746"/>
      <c r="C41" s="752"/>
      <c r="E41" s="752"/>
      <c r="G41" s="752"/>
    </row>
    <row r="42" spans="1:8" s="751" customFormat="1" x14ac:dyDescent="0.25">
      <c r="A42" s="746"/>
      <c r="C42" s="752"/>
      <c r="E42" s="752"/>
      <c r="G42" s="752"/>
    </row>
    <row r="43" spans="1:8" s="751" customFormat="1" x14ac:dyDescent="0.25">
      <c r="A43" s="746"/>
      <c r="C43" s="752"/>
      <c r="E43" s="752"/>
      <c r="G43" s="752"/>
    </row>
    <row r="44" spans="1:8" s="751" customFormat="1" x14ac:dyDescent="0.25">
      <c r="A44" s="746"/>
      <c r="C44" s="752"/>
      <c r="E44" s="752"/>
      <c r="G44" s="752"/>
    </row>
    <row r="45" spans="1:8" s="751" customFormat="1" x14ac:dyDescent="0.25">
      <c r="A45" s="746"/>
      <c r="C45" s="752"/>
      <c r="E45" s="752"/>
      <c r="G45" s="752"/>
    </row>
  </sheetData>
  <mergeCells count="19">
    <mergeCell ref="B10:H10"/>
    <mergeCell ref="A22:B22"/>
    <mergeCell ref="C22:D22"/>
    <mergeCell ref="E22:F22"/>
    <mergeCell ref="G22:H22"/>
    <mergeCell ref="A7:A9"/>
    <mergeCell ref="B7:B8"/>
    <mergeCell ref="C7:D7"/>
    <mergeCell ref="E7:F7"/>
    <mergeCell ref="G7:H7"/>
    <mergeCell ref="C8:D8"/>
    <mergeCell ref="E8:F8"/>
    <mergeCell ref="G8:H8"/>
    <mergeCell ref="B1:H1"/>
    <mergeCell ref="B2:H2"/>
    <mergeCell ref="B3:H3"/>
    <mergeCell ref="B4:H4"/>
    <mergeCell ref="B5:H5"/>
    <mergeCell ref="B6:H6"/>
  </mergeCells>
  <conditionalFormatting sqref="C22:D22">
    <cfRule type="cellIs" dxfId="44" priority="15" operator="equal">
      <formula>"NO HABIL"</formula>
    </cfRule>
  </conditionalFormatting>
  <conditionalFormatting sqref="E11:E12">
    <cfRule type="cellIs" dxfId="43" priority="14" operator="equal">
      <formula>"NO"</formula>
    </cfRule>
  </conditionalFormatting>
  <conditionalFormatting sqref="C11">
    <cfRule type="cellIs" dxfId="42" priority="13" operator="equal">
      <formula>"NO"</formula>
    </cfRule>
  </conditionalFormatting>
  <conditionalFormatting sqref="E15">
    <cfRule type="cellIs" dxfId="41" priority="12" operator="equal">
      <formula>"NO"</formula>
    </cfRule>
  </conditionalFormatting>
  <conditionalFormatting sqref="G19">
    <cfRule type="cellIs" dxfId="40" priority="11" operator="equal">
      <formula>"NO"</formula>
    </cfRule>
  </conditionalFormatting>
  <conditionalFormatting sqref="C19">
    <cfRule type="cellIs" dxfId="39" priority="10" operator="equal">
      <formula>"NO"</formula>
    </cfRule>
  </conditionalFormatting>
  <conditionalFormatting sqref="E18">
    <cfRule type="cellIs" dxfId="38" priority="9" operator="equal">
      <formula>"NO"</formula>
    </cfRule>
  </conditionalFormatting>
  <conditionalFormatting sqref="C13">
    <cfRule type="cellIs" dxfId="37" priority="8" operator="equal">
      <formula>"NO"</formula>
    </cfRule>
  </conditionalFormatting>
  <conditionalFormatting sqref="G13">
    <cfRule type="cellIs" dxfId="36" priority="7" operator="equal">
      <formula>"NO"</formula>
    </cfRule>
  </conditionalFormatting>
  <conditionalFormatting sqref="E14">
    <cfRule type="cellIs" dxfId="35" priority="6" operator="equal">
      <formula>"NO"</formula>
    </cfRule>
  </conditionalFormatting>
  <conditionalFormatting sqref="E20:E21">
    <cfRule type="cellIs" dxfId="34" priority="5" operator="equal">
      <formula>"NO"</formula>
    </cfRule>
  </conditionalFormatting>
  <conditionalFormatting sqref="E19">
    <cfRule type="cellIs" dxfId="33" priority="4" operator="equal">
      <formula>"NO"</formula>
    </cfRule>
  </conditionalFormatting>
  <conditionalFormatting sqref="E22:F22">
    <cfRule type="cellIs" dxfId="32" priority="3" operator="equal">
      <formula>"NO HABIL"</formula>
    </cfRule>
  </conditionalFormatting>
  <conditionalFormatting sqref="G22:H22">
    <cfRule type="cellIs" dxfId="31" priority="2" operator="equal">
      <formula>"NO HABIL"</formula>
    </cfRule>
  </conditionalFormatting>
  <conditionalFormatting sqref="E13">
    <cfRule type="cellIs" dxfId="30" priority="1" operator="equal">
      <formula>"NO"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644D-D6E8-4A26-8B88-C250D3C9E834}">
  <dimension ref="A1:H30"/>
  <sheetViews>
    <sheetView workbookViewId="0">
      <selection activeCell="J13" sqref="J13"/>
    </sheetView>
  </sheetViews>
  <sheetFormatPr baseColWidth="10" defaultRowHeight="15" x14ac:dyDescent="0.25"/>
  <cols>
    <col min="2" max="2" width="34.28515625" customWidth="1"/>
    <col min="3" max="3" width="10.42578125" customWidth="1"/>
    <col min="4" max="4" width="19.85546875" customWidth="1"/>
    <col min="5" max="5" width="10.42578125" customWidth="1"/>
    <col min="6" max="6" width="19.85546875" customWidth="1"/>
    <col min="7" max="7" width="10.42578125" customWidth="1"/>
    <col min="8" max="8" width="19.85546875" customWidth="1"/>
  </cols>
  <sheetData>
    <row r="1" spans="1:8" ht="15.75" x14ac:dyDescent="0.25">
      <c r="A1" s="753" t="s">
        <v>969</v>
      </c>
      <c r="B1" s="754"/>
      <c r="C1" s="754"/>
      <c r="D1" s="754"/>
      <c r="E1" s="754"/>
      <c r="F1" s="754"/>
      <c r="G1" s="754"/>
      <c r="H1" s="754"/>
    </row>
    <row r="2" spans="1:8" ht="15.75" x14ac:dyDescent="0.25">
      <c r="A2" s="753" t="s">
        <v>970</v>
      </c>
      <c r="B2" s="754"/>
      <c r="C2" s="754"/>
      <c r="D2" s="754"/>
      <c r="E2" s="754"/>
      <c r="F2" s="754"/>
      <c r="G2" s="754"/>
      <c r="H2" s="754"/>
    </row>
    <row r="3" spans="1:8" x14ac:dyDescent="0.25">
      <c r="A3" s="755"/>
      <c r="B3" s="755"/>
    </row>
    <row r="4" spans="1:8" ht="15.75" x14ac:dyDescent="0.25">
      <c r="A4" s="753" t="s">
        <v>971</v>
      </c>
      <c r="B4" s="754"/>
      <c r="C4" s="754"/>
      <c r="D4" s="755"/>
      <c r="E4" s="754"/>
      <c r="F4" s="755"/>
      <c r="G4" s="754"/>
      <c r="H4" s="755"/>
    </row>
    <row r="5" spans="1:8" ht="15.75" x14ac:dyDescent="0.25">
      <c r="A5" s="753" t="s">
        <v>972</v>
      </c>
      <c r="B5" s="754"/>
      <c r="C5" s="754"/>
      <c r="D5" s="754"/>
      <c r="E5" s="754"/>
      <c r="F5" s="754"/>
      <c r="G5" s="754"/>
      <c r="H5" s="754"/>
    </row>
    <row r="6" spans="1:8" x14ac:dyDescent="0.25">
      <c r="A6" s="755"/>
      <c r="B6" s="755"/>
      <c r="C6" s="755"/>
      <c r="D6" s="755"/>
      <c r="E6" s="755"/>
      <c r="F6" s="755"/>
      <c r="G6" s="755"/>
      <c r="H6" s="755"/>
    </row>
    <row r="7" spans="1:8" x14ac:dyDescent="0.25">
      <c r="A7" s="756" t="s">
        <v>973</v>
      </c>
      <c r="B7" s="756"/>
      <c r="C7" s="756"/>
      <c r="D7" s="756"/>
      <c r="E7" s="756"/>
      <c r="F7" s="756"/>
      <c r="G7" s="756"/>
      <c r="H7" s="756"/>
    </row>
    <row r="10" spans="1:8" ht="15.75" x14ac:dyDescent="0.25">
      <c r="A10" s="757" t="s">
        <v>0</v>
      </c>
      <c r="B10" s="758" t="s">
        <v>31</v>
      </c>
      <c r="C10" s="759" t="s">
        <v>710</v>
      </c>
      <c r="D10" s="759"/>
      <c r="E10" s="759" t="s">
        <v>711</v>
      </c>
      <c r="F10" s="759"/>
      <c r="G10" s="759" t="s">
        <v>709</v>
      </c>
      <c r="H10" s="759"/>
    </row>
    <row r="11" spans="1:8" x14ac:dyDescent="0.25">
      <c r="A11" s="760"/>
      <c r="B11" s="761"/>
      <c r="C11" s="762" t="s">
        <v>32</v>
      </c>
      <c r="D11" s="763" t="s">
        <v>33</v>
      </c>
      <c r="E11" s="762" t="s">
        <v>32</v>
      </c>
      <c r="F11" s="763" t="s">
        <v>33</v>
      </c>
      <c r="G11" s="762" t="s">
        <v>32</v>
      </c>
      <c r="H11" s="763" t="s">
        <v>33</v>
      </c>
    </row>
    <row r="12" spans="1:8" x14ac:dyDescent="0.25">
      <c r="A12" s="764"/>
      <c r="B12" s="765" t="s">
        <v>974</v>
      </c>
      <c r="C12" s="766"/>
      <c r="D12" s="766"/>
    </row>
    <row r="13" spans="1:8" x14ac:dyDescent="0.25">
      <c r="A13" s="764" t="s">
        <v>975</v>
      </c>
      <c r="B13" s="767" t="s">
        <v>976</v>
      </c>
      <c r="C13" s="763" t="s">
        <v>386</v>
      </c>
      <c r="D13" s="768" t="s">
        <v>977</v>
      </c>
      <c r="E13" s="763" t="s">
        <v>386</v>
      </c>
      <c r="F13" s="768" t="s">
        <v>977</v>
      </c>
      <c r="G13" s="763" t="s">
        <v>386</v>
      </c>
      <c r="H13" s="768" t="s">
        <v>977</v>
      </c>
    </row>
    <row r="14" spans="1:8" x14ac:dyDescent="0.25">
      <c r="A14" s="769"/>
      <c r="B14" s="767" t="s">
        <v>978</v>
      </c>
      <c r="C14" s="763" t="s">
        <v>386</v>
      </c>
      <c r="D14" s="768" t="s">
        <v>977</v>
      </c>
      <c r="E14" s="763" t="s">
        <v>386</v>
      </c>
      <c r="F14" s="768" t="s">
        <v>977</v>
      </c>
      <c r="G14" s="763" t="s">
        <v>386</v>
      </c>
      <c r="H14" s="768" t="s">
        <v>977</v>
      </c>
    </row>
    <row r="15" spans="1:8" ht="25.5" x14ac:dyDescent="0.25">
      <c r="A15" s="769"/>
      <c r="B15" s="767" t="s">
        <v>979</v>
      </c>
      <c r="C15" s="763" t="s">
        <v>386</v>
      </c>
      <c r="D15" s="768" t="s">
        <v>977</v>
      </c>
      <c r="E15" s="763" t="s">
        <v>386</v>
      </c>
      <c r="F15" s="768" t="s">
        <v>977</v>
      </c>
      <c r="G15" s="763" t="s">
        <v>386</v>
      </c>
      <c r="H15" s="768" t="s">
        <v>977</v>
      </c>
    </row>
    <row r="16" spans="1:8" ht="25.5" x14ac:dyDescent="0.25">
      <c r="A16" s="764"/>
      <c r="B16" s="767" t="s">
        <v>980</v>
      </c>
      <c r="C16" s="763" t="s">
        <v>386</v>
      </c>
      <c r="D16" s="768" t="s">
        <v>977</v>
      </c>
      <c r="E16" s="763" t="s">
        <v>386</v>
      </c>
      <c r="F16" s="768" t="s">
        <v>977</v>
      </c>
      <c r="G16" s="763" t="s">
        <v>386</v>
      </c>
      <c r="H16" s="768" t="s">
        <v>977</v>
      </c>
    </row>
    <row r="17" spans="1:8" ht="25.5" x14ac:dyDescent="0.25">
      <c r="A17" s="769"/>
      <c r="B17" s="767" t="s">
        <v>981</v>
      </c>
      <c r="C17" s="763" t="s">
        <v>386</v>
      </c>
      <c r="D17" s="768" t="s">
        <v>977</v>
      </c>
      <c r="E17" s="763" t="s">
        <v>386</v>
      </c>
      <c r="F17" s="768" t="s">
        <v>977</v>
      </c>
      <c r="G17" s="763" t="s">
        <v>386</v>
      </c>
      <c r="H17" s="768" t="s">
        <v>977</v>
      </c>
    </row>
    <row r="18" spans="1:8" x14ac:dyDescent="0.25">
      <c r="A18" s="764"/>
      <c r="B18" s="767" t="s">
        <v>982</v>
      </c>
      <c r="C18" s="763" t="s">
        <v>386</v>
      </c>
      <c r="D18" s="768" t="s">
        <v>977</v>
      </c>
      <c r="E18" s="763" t="s">
        <v>386</v>
      </c>
      <c r="F18" s="768" t="s">
        <v>977</v>
      </c>
      <c r="G18" s="763" t="s">
        <v>386</v>
      </c>
      <c r="H18" s="768" t="s">
        <v>977</v>
      </c>
    </row>
    <row r="19" spans="1:8" ht="15.75" thickBot="1" x14ac:dyDescent="0.3">
      <c r="A19" s="770"/>
      <c r="B19" s="771"/>
      <c r="C19" s="763"/>
      <c r="D19" s="772"/>
      <c r="E19" s="763"/>
      <c r="F19" s="772"/>
      <c r="G19" s="763"/>
      <c r="H19" s="772"/>
    </row>
    <row r="20" spans="1:8" ht="16.5" thickBot="1" x14ac:dyDescent="0.3">
      <c r="A20" s="773" t="s">
        <v>34</v>
      </c>
      <c r="B20" s="774"/>
      <c r="C20" s="466" t="s">
        <v>920</v>
      </c>
      <c r="D20" s="467"/>
      <c r="E20" s="466" t="s">
        <v>920</v>
      </c>
      <c r="F20" s="467"/>
      <c r="G20" s="466" t="s">
        <v>920</v>
      </c>
      <c r="H20" s="467"/>
    </row>
    <row r="21" spans="1:8" ht="15.75" x14ac:dyDescent="0.25">
      <c r="A21" s="775"/>
      <c r="B21" s="775"/>
      <c r="C21" s="775"/>
      <c r="D21" s="775"/>
      <c r="E21" s="775"/>
      <c r="F21" s="775"/>
      <c r="G21" s="775"/>
      <c r="H21" s="775"/>
    </row>
    <row r="22" spans="1:8" x14ac:dyDescent="0.25">
      <c r="A22" s="776"/>
      <c r="B22" s="777"/>
      <c r="C22" s="777"/>
      <c r="D22" s="777"/>
      <c r="E22" s="777"/>
      <c r="F22" s="777"/>
      <c r="G22" s="777"/>
      <c r="H22" s="777"/>
    </row>
    <row r="23" spans="1:8" ht="15.75" x14ac:dyDescent="0.25">
      <c r="A23" s="198" t="s">
        <v>35</v>
      </c>
      <c r="B23" s="198"/>
      <c r="C23" s="778"/>
      <c r="D23" s="778"/>
      <c r="E23" s="778"/>
      <c r="F23" s="778"/>
      <c r="G23" s="778"/>
      <c r="H23" s="778"/>
    </row>
    <row r="24" spans="1:8" ht="15.75" x14ac:dyDescent="0.25">
      <c r="A24" s="198"/>
      <c r="B24" s="198"/>
      <c r="C24" s="778"/>
      <c r="D24" s="778"/>
      <c r="E24" s="778"/>
      <c r="F24" s="778"/>
      <c r="G24" s="778"/>
      <c r="H24" s="778"/>
    </row>
    <row r="25" spans="1:8" x14ac:dyDescent="0.25">
      <c r="A25" s="777"/>
      <c r="B25" s="777"/>
      <c r="C25" s="779"/>
      <c r="D25" s="777"/>
      <c r="E25" s="779"/>
      <c r="F25" s="777"/>
      <c r="G25" s="779"/>
      <c r="H25" s="777"/>
    </row>
    <row r="26" spans="1:8" x14ac:dyDescent="0.25">
      <c r="A26" s="777"/>
      <c r="B26" s="777"/>
      <c r="C26" s="777"/>
      <c r="D26" s="777"/>
      <c r="E26" s="777"/>
      <c r="F26" s="777"/>
      <c r="G26" s="777"/>
      <c r="H26" s="777"/>
    </row>
    <row r="27" spans="1:8" ht="15.75" x14ac:dyDescent="0.25">
      <c r="A27" s="780" t="s">
        <v>983</v>
      </c>
      <c r="B27" s="780"/>
      <c r="C27" s="777"/>
      <c r="D27" s="777"/>
      <c r="E27" s="777"/>
      <c r="F27" s="777"/>
      <c r="G27" s="777"/>
      <c r="H27" s="777"/>
    </row>
    <row r="28" spans="1:8" ht="15.75" x14ac:dyDescent="0.25">
      <c r="A28" s="781" t="s">
        <v>984</v>
      </c>
      <c r="B28" s="781"/>
      <c r="C28" s="777"/>
      <c r="D28" s="777"/>
      <c r="E28" s="777"/>
      <c r="F28" s="777"/>
      <c r="G28" s="777"/>
      <c r="H28" s="777"/>
    </row>
    <row r="29" spans="1:8" x14ac:dyDescent="0.25">
      <c r="A29" s="776"/>
      <c r="B29" s="199"/>
      <c r="C29" s="199"/>
      <c r="D29" s="199"/>
      <c r="E29" s="199"/>
      <c r="F29" s="199"/>
      <c r="G29" s="199"/>
      <c r="H29" s="199"/>
    </row>
    <row r="30" spans="1:8" x14ac:dyDescent="0.25">
      <c r="A30" s="776"/>
      <c r="B30" s="199"/>
      <c r="C30" s="199"/>
      <c r="D30" s="199"/>
      <c r="E30" s="199"/>
      <c r="F30" s="199"/>
      <c r="G30" s="199"/>
      <c r="H30" s="199"/>
    </row>
  </sheetData>
  <mergeCells count="11">
    <mergeCell ref="B12:D12"/>
    <mergeCell ref="A20:B20"/>
    <mergeCell ref="C20:D20"/>
    <mergeCell ref="E20:F20"/>
    <mergeCell ref="G20:H20"/>
    <mergeCell ref="A7:H7"/>
    <mergeCell ref="A10:A11"/>
    <mergeCell ref="B10:B11"/>
    <mergeCell ref="C10:D10"/>
    <mergeCell ref="E10:F10"/>
    <mergeCell ref="G10:H10"/>
  </mergeCells>
  <conditionalFormatting sqref="C13:D13">
    <cfRule type="cellIs" dxfId="29" priority="30" operator="equal">
      <formula>"NO"</formula>
    </cfRule>
  </conditionalFormatting>
  <conditionalFormatting sqref="C20:D21">
    <cfRule type="cellIs" dxfId="28" priority="29" operator="equal">
      <formula>"NO HABIL"</formula>
    </cfRule>
  </conditionalFormatting>
  <conditionalFormatting sqref="C14 C18">
    <cfRule type="cellIs" dxfId="27" priority="28" operator="equal">
      <formula>"NO"</formula>
    </cfRule>
  </conditionalFormatting>
  <conditionalFormatting sqref="D14 D18">
    <cfRule type="cellIs" dxfId="26" priority="27" operator="equal">
      <formula>"NO"</formula>
    </cfRule>
  </conditionalFormatting>
  <conditionalFormatting sqref="E13:F13">
    <cfRule type="cellIs" dxfId="25" priority="26" operator="equal">
      <formula>"NO"</formula>
    </cfRule>
  </conditionalFormatting>
  <conditionalFormatting sqref="E20:F21">
    <cfRule type="cellIs" dxfId="24" priority="25" operator="equal">
      <formula>"NO HABIL"</formula>
    </cfRule>
  </conditionalFormatting>
  <conditionalFormatting sqref="E14 E18">
    <cfRule type="cellIs" dxfId="23" priority="24" operator="equal">
      <formula>"NO"</formula>
    </cfRule>
  </conditionalFormatting>
  <conditionalFormatting sqref="F14 F18">
    <cfRule type="cellIs" dxfId="22" priority="23" operator="equal">
      <formula>"NO"</formula>
    </cfRule>
  </conditionalFormatting>
  <conditionalFormatting sqref="G13:H13">
    <cfRule type="cellIs" dxfId="21" priority="22" operator="equal">
      <formula>"NO"</formula>
    </cfRule>
  </conditionalFormatting>
  <conditionalFormatting sqref="G20:H21">
    <cfRule type="cellIs" dxfId="20" priority="21" operator="equal">
      <formula>"NO HABIL"</formula>
    </cfRule>
  </conditionalFormatting>
  <conditionalFormatting sqref="G14 G18">
    <cfRule type="cellIs" dxfId="19" priority="20" operator="equal">
      <formula>"NO"</formula>
    </cfRule>
  </conditionalFormatting>
  <conditionalFormatting sqref="H14 H18">
    <cfRule type="cellIs" dxfId="18" priority="19" operator="equal">
      <formula>"NO"</formula>
    </cfRule>
  </conditionalFormatting>
  <conditionalFormatting sqref="C16">
    <cfRule type="cellIs" dxfId="17" priority="18" operator="equal">
      <formula>"NO"</formula>
    </cfRule>
  </conditionalFormatting>
  <conditionalFormatting sqref="D16">
    <cfRule type="cellIs" dxfId="16" priority="17" operator="equal">
      <formula>"NO"</formula>
    </cfRule>
  </conditionalFormatting>
  <conditionalFormatting sqref="E16">
    <cfRule type="cellIs" dxfId="15" priority="16" operator="equal">
      <formula>"NO"</formula>
    </cfRule>
  </conditionalFormatting>
  <conditionalFormatting sqref="F16">
    <cfRule type="cellIs" dxfId="14" priority="15" operator="equal">
      <formula>"NO"</formula>
    </cfRule>
  </conditionalFormatting>
  <conditionalFormatting sqref="G16">
    <cfRule type="cellIs" dxfId="13" priority="14" operator="equal">
      <formula>"NO"</formula>
    </cfRule>
  </conditionalFormatting>
  <conditionalFormatting sqref="H16">
    <cfRule type="cellIs" dxfId="12" priority="13" operator="equal">
      <formula>"NO"</formula>
    </cfRule>
  </conditionalFormatting>
  <conditionalFormatting sqref="C15">
    <cfRule type="cellIs" dxfId="11" priority="12" operator="equal">
      <formula>"NO"</formula>
    </cfRule>
  </conditionalFormatting>
  <conditionalFormatting sqref="D15">
    <cfRule type="cellIs" dxfId="10" priority="11" operator="equal">
      <formula>"NO"</formula>
    </cfRule>
  </conditionalFormatting>
  <conditionalFormatting sqref="E15">
    <cfRule type="cellIs" dxfId="9" priority="10" operator="equal">
      <formula>"NO"</formula>
    </cfRule>
  </conditionalFormatting>
  <conditionalFormatting sqref="F15">
    <cfRule type="cellIs" dxfId="8" priority="9" operator="equal">
      <formula>"NO"</formula>
    </cfRule>
  </conditionalFormatting>
  <conditionalFormatting sqref="G15">
    <cfRule type="cellIs" dxfId="7" priority="8" operator="equal">
      <formula>"NO"</formula>
    </cfRule>
  </conditionalFormatting>
  <conditionalFormatting sqref="H15">
    <cfRule type="cellIs" dxfId="6" priority="7" operator="equal">
      <formula>"NO"</formula>
    </cfRule>
  </conditionalFormatting>
  <conditionalFormatting sqref="C17">
    <cfRule type="cellIs" dxfId="5" priority="6" operator="equal">
      <formula>"NO"</formula>
    </cfRule>
  </conditionalFormatting>
  <conditionalFormatting sqref="D17">
    <cfRule type="cellIs" dxfId="4" priority="5" operator="equal">
      <formula>"NO"</formula>
    </cfRule>
  </conditionalFormatting>
  <conditionalFormatting sqref="E17">
    <cfRule type="cellIs" dxfId="3" priority="4" operator="equal">
      <formula>"NO"</formula>
    </cfRule>
  </conditionalFormatting>
  <conditionalFormatting sqref="F17">
    <cfRule type="cellIs" dxfId="2" priority="3" operator="equal">
      <formula>"NO"</formula>
    </cfRule>
  </conditionalFormatting>
  <conditionalFormatting sqref="G17">
    <cfRule type="cellIs" dxfId="1" priority="2" operator="equal">
      <formula>"NO"</formula>
    </cfRule>
  </conditionalFormatting>
  <conditionalFormatting sqref="H17">
    <cfRule type="cellIs" dxfId="0"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T108"/>
  <sheetViews>
    <sheetView view="pageBreakPreview" topLeftCell="A9" zoomScale="80" zoomScaleNormal="66" zoomScaleSheetLayoutView="80" zoomScalePageLayoutView="70" workbookViewId="0">
      <pane xSplit="2" ySplit="3" topLeftCell="C45" activePane="bottomRight" state="frozen"/>
      <selection activeCell="A9" sqref="A9"/>
      <selection pane="topRight" activeCell="C9" sqref="C9"/>
      <selection pane="bottomLeft" activeCell="A12" sqref="A12"/>
      <selection pane="bottomRight" activeCell="D49" sqref="D49"/>
    </sheetView>
  </sheetViews>
  <sheetFormatPr baseColWidth="10" defaultColWidth="11.42578125" defaultRowHeight="12.75" x14ac:dyDescent="0.2"/>
  <cols>
    <col min="1" max="1" width="12.7109375" style="38" customWidth="1"/>
    <col min="2" max="2" width="131.5703125" style="39" customWidth="1"/>
    <col min="3" max="3" width="15.7109375" style="40" customWidth="1"/>
    <col min="4" max="4" width="60.7109375" style="40" customWidth="1"/>
    <col min="5" max="5" width="15.7109375" style="39" customWidth="1"/>
    <col min="6" max="6" width="60.7109375" style="39" customWidth="1"/>
    <col min="7" max="7" width="15.7109375" style="39" customWidth="1"/>
    <col min="8" max="8" width="60.7109375" style="39" customWidth="1"/>
    <col min="9" max="16384" width="11.42578125" style="35"/>
  </cols>
  <sheetData>
    <row r="1" spans="1:8" s="30" customFormat="1" ht="25.5" customHeight="1" x14ac:dyDescent="0.25">
      <c r="A1" s="463" t="s">
        <v>28</v>
      </c>
      <c r="B1" s="463"/>
      <c r="C1" s="29"/>
      <c r="D1" s="29"/>
      <c r="E1" s="29"/>
      <c r="F1" s="29"/>
      <c r="G1" s="29"/>
      <c r="H1" s="29"/>
    </row>
    <row r="2" spans="1:8" s="30" customFormat="1" ht="25.5" customHeight="1" x14ac:dyDescent="0.25">
      <c r="A2" s="463" t="s">
        <v>29</v>
      </c>
      <c r="B2" s="463"/>
      <c r="C2" s="29"/>
      <c r="D2" s="29"/>
      <c r="E2" s="29"/>
      <c r="F2" s="29"/>
      <c r="G2" s="29"/>
      <c r="H2" s="29"/>
    </row>
    <row r="3" spans="1:8" s="30" customFormat="1" ht="17.25" customHeight="1" x14ac:dyDescent="0.25">
      <c r="A3" s="462"/>
      <c r="B3" s="462"/>
      <c r="C3" s="31"/>
      <c r="D3" s="31"/>
      <c r="E3" s="31"/>
      <c r="F3" s="31"/>
      <c r="G3" s="31"/>
      <c r="H3" s="31"/>
    </row>
    <row r="4" spans="1:8" s="30" customFormat="1" ht="23.25" customHeight="1" x14ac:dyDescent="0.25">
      <c r="A4" s="463" t="s">
        <v>764</v>
      </c>
      <c r="B4" s="463"/>
      <c r="C4" s="29"/>
      <c r="D4" s="29"/>
      <c r="E4" s="29"/>
      <c r="F4" s="29"/>
      <c r="G4" s="29"/>
      <c r="H4" s="29"/>
    </row>
    <row r="5" spans="1:8" s="30" customFormat="1" ht="22.5" customHeight="1" x14ac:dyDescent="0.25">
      <c r="A5" s="463" t="s">
        <v>40</v>
      </c>
      <c r="B5" s="463"/>
      <c r="C5" s="29"/>
      <c r="D5" s="29"/>
      <c r="E5" s="29"/>
      <c r="F5" s="29"/>
      <c r="G5" s="29"/>
      <c r="H5" s="29"/>
    </row>
    <row r="6" spans="1:8" s="30" customFormat="1" ht="18" customHeight="1" x14ac:dyDescent="0.25">
      <c r="A6" s="462"/>
      <c r="B6" s="462"/>
      <c r="C6" s="31"/>
      <c r="D6" s="31"/>
      <c r="E6" s="31"/>
      <c r="F6" s="31"/>
      <c r="G6" s="31"/>
      <c r="H6" s="31"/>
    </row>
    <row r="7" spans="1:8" s="30" customFormat="1" ht="55.5" customHeight="1" x14ac:dyDescent="0.25">
      <c r="A7" s="468" t="s">
        <v>765</v>
      </c>
      <c r="B7" s="468"/>
      <c r="C7" s="53"/>
      <c r="D7" s="53"/>
      <c r="E7" s="53"/>
      <c r="F7" s="53"/>
      <c r="G7" s="53"/>
      <c r="H7" s="53"/>
    </row>
    <row r="8" spans="1:8" s="30" customFormat="1" ht="15.75" x14ac:dyDescent="0.25">
      <c r="A8" s="33"/>
      <c r="B8" s="33"/>
      <c r="C8" s="34"/>
      <c r="D8" s="34"/>
      <c r="E8" s="34"/>
      <c r="F8" s="34"/>
      <c r="G8" s="34"/>
      <c r="H8" s="34"/>
    </row>
    <row r="9" spans="1:8" ht="15.75" customHeight="1" x14ac:dyDescent="0.2">
      <c r="A9" s="469" t="s">
        <v>0</v>
      </c>
      <c r="B9" s="469" t="s">
        <v>30</v>
      </c>
      <c r="C9" s="472">
        <v>1</v>
      </c>
      <c r="D9" s="472"/>
      <c r="E9" s="472">
        <v>2</v>
      </c>
      <c r="F9" s="472"/>
      <c r="G9" s="478">
        <v>3</v>
      </c>
      <c r="H9" s="479"/>
    </row>
    <row r="10" spans="1:8" ht="24" customHeight="1" x14ac:dyDescent="0.2">
      <c r="A10" s="470"/>
      <c r="B10" s="471"/>
      <c r="C10" s="480" t="s">
        <v>709</v>
      </c>
      <c r="D10" s="480"/>
      <c r="E10" s="480" t="s">
        <v>710</v>
      </c>
      <c r="F10" s="480"/>
      <c r="G10" s="476" t="s">
        <v>711</v>
      </c>
      <c r="H10" s="477"/>
    </row>
    <row r="11" spans="1:8" ht="24" customHeight="1" x14ac:dyDescent="0.2">
      <c r="A11" s="471"/>
      <c r="B11" s="55" t="s">
        <v>31</v>
      </c>
      <c r="C11" s="55" t="s">
        <v>32</v>
      </c>
      <c r="D11" s="56" t="s">
        <v>33</v>
      </c>
      <c r="E11" s="55" t="s">
        <v>32</v>
      </c>
      <c r="F11" s="395" t="s">
        <v>33</v>
      </c>
      <c r="G11" s="55" t="s">
        <v>32</v>
      </c>
      <c r="H11" s="56" t="s">
        <v>33</v>
      </c>
    </row>
    <row r="12" spans="1:8" ht="16.5" x14ac:dyDescent="0.2">
      <c r="A12" s="84" t="s">
        <v>41</v>
      </c>
      <c r="B12" s="57" t="s">
        <v>379</v>
      </c>
      <c r="C12" s="392"/>
      <c r="D12" s="396"/>
      <c r="E12" s="392"/>
      <c r="F12" s="396"/>
      <c r="G12" s="392"/>
      <c r="H12" s="396"/>
    </row>
    <row r="13" spans="1:8" ht="16.5" x14ac:dyDescent="0.2">
      <c r="A13" s="340" t="s">
        <v>42</v>
      </c>
      <c r="B13" s="390" t="s">
        <v>821</v>
      </c>
      <c r="C13" s="393"/>
      <c r="D13" s="397"/>
      <c r="E13" s="393"/>
      <c r="F13" s="397"/>
      <c r="G13" s="393"/>
      <c r="H13" s="397"/>
    </row>
    <row r="14" spans="1:8" ht="409.6" customHeight="1" x14ac:dyDescent="0.2">
      <c r="A14" s="391" t="s">
        <v>822</v>
      </c>
      <c r="B14" s="337" t="s">
        <v>823</v>
      </c>
      <c r="C14" s="51" t="s">
        <v>386</v>
      </c>
      <c r="D14" s="457" t="s">
        <v>935</v>
      </c>
      <c r="E14" s="51" t="s">
        <v>388</v>
      </c>
      <c r="F14" s="458" t="s">
        <v>937</v>
      </c>
      <c r="G14" s="51" t="s">
        <v>388</v>
      </c>
      <c r="H14" s="444" t="s">
        <v>880</v>
      </c>
    </row>
    <row r="15" spans="1:8" ht="16.5" x14ac:dyDescent="0.2">
      <c r="A15" s="110" t="s">
        <v>820</v>
      </c>
      <c r="B15" s="160" t="s">
        <v>75</v>
      </c>
      <c r="C15" s="392"/>
      <c r="D15" s="396"/>
      <c r="E15" s="392"/>
      <c r="F15" s="396"/>
      <c r="G15" s="392"/>
      <c r="H15" s="396"/>
    </row>
    <row r="16" spans="1:8" ht="387" customHeight="1" x14ac:dyDescent="0.2">
      <c r="A16" s="473" t="s">
        <v>75</v>
      </c>
      <c r="B16" s="337" t="s">
        <v>704</v>
      </c>
      <c r="C16" s="51" t="s">
        <v>386</v>
      </c>
      <c r="D16" s="456" t="s">
        <v>928</v>
      </c>
      <c r="E16" s="51" t="s">
        <v>388</v>
      </c>
      <c r="F16" s="452" t="s">
        <v>939</v>
      </c>
      <c r="G16" s="51" t="s">
        <v>386</v>
      </c>
      <c r="H16" s="452" t="s">
        <v>943</v>
      </c>
    </row>
    <row r="17" spans="1:8" s="30" customFormat="1" ht="48.75" customHeight="1" x14ac:dyDescent="0.25">
      <c r="A17" s="474"/>
      <c r="B17" s="184" t="s">
        <v>714</v>
      </c>
      <c r="C17" s="51" t="str">
        <f>+IF(D17&gt;=VTE!$D$4,"SI","NO")</f>
        <v>SI</v>
      </c>
      <c r="D17" s="398">
        <f>+VTE!G4</f>
        <v>17843887232</v>
      </c>
      <c r="E17" s="51" t="str">
        <f>+IF(F17&gt;=VTE!$D$4,"SI","NO")</f>
        <v>NO</v>
      </c>
      <c r="F17" s="398">
        <f>+VTE!K4</f>
        <v>6692924272</v>
      </c>
      <c r="G17" s="51" t="str">
        <f>+IF(H17&gt;=VTE!$D$4,"SI","NO")</f>
        <v>SI</v>
      </c>
      <c r="H17" s="398">
        <f>+VTE!O4</f>
        <v>15678175290</v>
      </c>
    </row>
    <row r="18" spans="1:8" s="30" customFormat="1" ht="77.25" customHeight="1" x14ac:dyDescent="0.25">
      <c r="A18" s="474"/>
      <c r="B18" s="339" t="s">
        <v>716</v>
      </c>
      <c r="C18" s="338" t="str">
        <f>+IF(D18&gt;=VTE!$D$15,"SI","NO")</f>
        <v>SI</v>
      </c>
      <c r="D18" s="399">
        <f>+MIN(VTE!G15:G16)</f>
        <v>8105257283</v>
      </c>
      <c r="E18" s="338" t="str">
        <f>+IF(F18&gt;=VTE!$D$15,"SI","NO")</f>
        <v>NO</v>
      </c>
      <c r="F18" s="399">
        <f>+MIN(VTE!K15:K17)</f>
        <v>1753928904</v>
      </c>
      <c r="G18" s="338" t="str">
        <f>+IF(H18&gt;=VTE!$D$15,"SI","NO")</f>
        <v>NO</v>
      </c>
      <c r="H18" s="399">
        <f>+MIN(VTE!O15:O17)</f>
        <v>625206439</v>
      </c>
    </row>
    <row r="19" spans="1:8" s="30" customFormat="1" ht="97.5" customHeight="1" x14ac:dyDescent="0.25">
      <c r="A19" s="474"/>
      <c r="B19" s="339" t="s">
        <v>705</v>
      </c>
      <c r="C19" s="338" t="s">
        <v>386</v>
      </c>
      <c r="D19" s="400" t="s">
        <v>832</v>
      </c>
      <c r="E19" s="338" t="s">
        <v>386</v>
      </c>
      <c r="F19" s="400" t="s">
        <v>869</v>
      </c>
      <c r="G19" s="338" t="s">
        <v>386</v>
      </c>
      <c r="H19" s="400" t="s">
        <v>869</v>
      </c>
    </row>
    <row r="20" spans="1:8" s="30" customFormat="1" ht="241.5" customHeight="1" x14ac:dyDescent="0.25">
      <c r="A20" s="474"/>
      <c r="B20" s="183" t="s">
        <v>834</v>
      </c>
      <c r="C20" s="161" t="s">
        <v>386</v>
      </c>
      <c r="D20" s="403" t="s">
        <v>831</v>
      </c>
      <c r="E20" s="161" t="s">
        <v>386</v>
      </c>
      <c r="F20" s="403" t="s">
        <v>893</v>
      </c>
      <c r="G20" s="161" t="s">
        <v>386</v>
      </c>
      <c r="H20" s="409" t="s">
        <v>875</v>
      </c>
    </row>
    <row r="21" spans="1:8" s="30" customFormat="1" ht="215.25" customHeight="1" x14ac:dyDescent="0.25">
      <c r="A21" s="474"/>
      <c r="B21" s="183" t="s">
        <v>708</v>
      </c>
      <c r="C21" s="161" t="str">
        <f>+IF(D21&gt;=40%,"SI","NO")</f>
        <v>SI</v>
      </c>
      <c r="D21" s="404">
        <v>0.5</v>
      </c>
      <c r="E21" s="161" t="str">
        <f>+IF(F21&gt;=40%,"SI","NO")</f>
        <v>SI</v>
      </c>
      <c r="F21" s="404">
        <v>0.4</v>
      </c>
      <c r="G21" s="161" t="s">
        <v>388</v>
      </c>
      <c r="H21" s="455" t="s">
        <v>942</v>
      </c>
    </row>
    <row r="22" spans="1:8" s="30" customFormat="1" ht="54.75" customHeight="1" x14ac:dyDescent="0.25">
      <c r="A22" s="474"/>
      <c r="B22" s="182" t="s">
        <v>706</v>
      </c>
      <c r="C22" s="58" t="s">
        <v>386</v>
      </c>
      <c r="D22" s="404">
        <f>+MIN(VTE!G9:G10)</f>
        <v>0.5</v>
      </c>
      <c r="E22" s="58" t="s">
        <v>386</v>
      </c>
      <c r="F22" s="404">
        <f>+MIN(VTE!K9:K11)</f>
        <v>0.3</v>
      </c>
      <c r="G22" s="58" t="s">
        <v>386</v>
      </c>
      <c r="H22" s="404">
        <f>+MIN(VTE!O9:O11)</f>
        <v>0.3</v>
      </c>
    </row>
    <row r="23" spans="1:8" s="30" customFormat="1" ht="161.25" customHeight="1" x14ac:dyDescent="0.25">
      <c r="A23" s="475"/>
      <c r="B23" s="185" t="s">
        <v>707</v>
      </c>
      <c r="C23" s="186" t="s">
        <v>386</v>
      </c>
      <c r="D23" s="442" t="s">
        <v>894</v>
      </c>
      <c r="E23" s="186" t="s">
        <v>386</v>
      </c>
      <c r="F23" s="442" t="s">
        <v>878</v>
      </c>
      <c r="G23" s="186" t="s">
        <v>388</v>
      </c>
      <c r="H23" s="442" t="s">
        <v>938</v>
      </c>
    </row>
    <row r="24" spans="1:8" ht="24.95" customHeight="1" x14ac:dyDescent="0.2">
      <c r="A24" s="84" t="s">
        <v>76</v>
      </c>
      <c r="B24" s="59" t="s">
        <v>55</v>
      </c>
      <c r="C24" s="394"/>
      <c r="D24" s="401"/>
      <c r="E24" s="394"/>
      <c r="F24" s="401"/>
      <c r="G24" s="394"/>
      <c r="H24" s="401"/>
    </row>
    <row r="25" spans="1:8" ht="141" customHeight="1" x14ac:dyDescent="0.2">
      <c r="A25" s="473" t="s">
        <v>724</v>
      </c>
      <c r="B25" s="352" t="s">
        <v>737</v>
      </c>
      <c r="C25" s="98" t="s">
        <v>386</v>
      </c>
      <c r="D25" s="432" t="s">
        <v>841</v>
      </c>
      <c r="E25" s="98" t="s">
        <v>386</v>
      </c>
      <c r="F25" s="432" t="s">
        <v>895</v>
      </c>
      <c r="G25" s="98" t="s">
        <v>388</v>
      </c>
      <c r="H25" s="441" t="s">
        <v>876</v>
      </c>
    </row>
    <row r="26" spans="1:8" ht="87.75" customHeight="1" x14ac:dyDescent="0.2">
      <c r="A26" s="474"/>
      <c r="B26" s="353" t="s">
        <v>727</v>
      </c>
      <c r="C26" s="354" t="s">
        <v>386</v>
      </c>
      <c r="D26" s="430" t="s">
        <v>845</v>
      </c>
      <c r="E26" s="354"/>
      <c r="F26" s="430" t="s">
        <v>896</v>
      </c>
      <c r="G26" s="98" t="s">
        <v>388</v>
      </c>
      <c r="H26" s="441" t="s">
        <v>876</v>
      </c>
    </row>
    <row r="27" spans="1:8" s="30" customFormat="1" ht="48.75" customHeight="1" x14ac:dyDescent="0.25">
      <c r="A27" s="474"/>
      <c r="B27" s="184" t="s">
        <v>842</v>
      </c>
      <c r="C27" s="51" t="str">
        <f>+IF(D27&gt;='VTE PERSONAL'!$D$7,"SI","NO")</f>
        <v>SI</v>
      </c>
      <c r="D27" s="398">
        <f>+'VTE PERSONAL'!G7</f>
        <v>9745639655</v>
      </c>
      <c r="E27" s="51" t="str">
        <f>+IF(F27&gt;='VTE PERSONAL'!$D$7,"SI","NO")</f>
        <v>SI</v>
      </c>
      <c r="F27" s="398">
        <f>+'VTE PERSONAL'!K7</f>
        <v>17327846226</v>
      </c>
      <c r="G27" s="98" t="s">
        <v>388</v>
      </c>
      <c r="H27" s="441" t="s">
        <v>876</v>
      </c>
    </row>
    <row r="28" spans="1:8" ht="258.75" customHeight="1" x14ac:dyDescent="0.2">
      <c r="A28" s="474"/>
      <c r="B28" s="353" t="s">
        <v>728</v>
      </c>
      <c r="C28" s="354" t="s">
        <v>386</v>
      </c>
      <c r="D28" s="431" t="s">
        <v>923</v>
      </c>
      <c r="E28" s="354" t="s">
        <v>386</v>
      </c>
      <c r="F28" s="430" t="s">
        <v>933</v>
      </c>
      <c r="G28" s="98" t="s">
        <v>388</v>
      </c>
      <c r="H28" s="441" t="s">
        <v>876</v>
      </c>
    </row>
    <row r="29" spans="1:8" ht="99" customHeight="1" x14ac:dyDescent="0.2">
      <c r="A29" s="474"/>
      <c r="B29" s="353" t="s">
        <v>729</v>
      </c>
      <c r="C29" s="354" t="s">
        <v>387</v>
      </c>
      <c r="D29" s="430" t="s">
        <v>387</v>
      </c>
      <c r="E29" s="354" t="s">
        <v>387</v>
      </c>
      <c r="F29" s="430" t="s">
        <v>387</v>
      </c>
      <c r="G29" s="98" t="s">
        <v>388</v>
      </c>
      <c r="H29" s="441" t="s">
        <v>876</v>
      </c>
    </row>
    <row r="30" spans="1:8" ht="107.25" customHeight="1" x14ac:dyDescent="0.2">
      <c r="A30" s="475"/>
      <c r="B30" s="353" t="s">
        <v>725</v>
      </c>
      <c r="C30" s="354" t="s">
        <v>386</v>
      </c>
      <c r="D30" s="431" t="s">
        <v>851</v>
      </c>
      <c r="E30" s="354" t="s">
        <v>386</v>
      </c>
      <c r="F30" s="431" t="s">
        <v>897</v>
      </c>
      <c r="G30" s="98" t="s">
        <v>388</v>
      </c>
      <c r="H30" s="441" t="s">
        <v>876</v>
      </c>
    </row>
    <row r="31" spans="1:8" ht="72.75" customHeight="1" x14ac:dyDescent="0.2">
      <c r="A31" s="473" t="s">
        <v>726</v>
      </c>
      <c r="B31" s="352" t="s">
        <v>736</v>
      </c>
      <c r="C31" s="98" t="s">
        <v>386</v>
      </c>
      <c r="D31" s="432" t="s">
        <v>844</v>
      </c>
      <c r="E31" s="98" t="s">
        <v>386</v>
      </c>
      <c r="F31" s="432" t="s">
        <v>898</v>
      </c>
      <c r="G31" s="98" t="s">
        <v>388</v>
      </c>
      <c r="H31" s="441" t="s">
        <v>876</v>
      </c>
    </row>
    <row r="32" spans="1:8" ht="87.75" customHeight="1" x14ac:dyDescent="0.2">
      <c r="A32" s="474"/>
      <c r="B32" s="353" t="s">
        <v>730</v>
      </c>
      <c r="C32" s="354" t="s">
        <v>386</v>
      </c>
      <c r="D32" s="430" t="s">
        <v>846</v>
      </c>
      <c r="E32" s="354" t="s">
        <v>386</v>
      </c>
      <c r="F32" s="430" t="s">
        <v>899</v>
      </c>
      <c r="G32" s="98" t="s">
        <v>388</v>
      </c>
      <c r="H32" s="441" t="s">
        <v>876</v>
      </c>
    </row>
    <row r="33" spans="1:8" s="30" customFormat="1" ht="48.75" customHeight="1" x14ac:dyDescent="0.25">
      <c r="A33" s="474"/>
      <c r="B33" s="184" t="s">
        <v>843</v>
      </c>
      <c r="C33" s="51" t="str">
        <f>+IF(D33&gt;='VTE PERSONAL'!$D$9,"SI","NO")</f>
        <v>SI</v>
      </c>
      <c r="D33" s="398">
        <f>+'VTE PERSONAL'!G9</f>
        <v>8513969882</v>
      </c>
      <c r="E33" s="51" t="str">
        <f>+IF(F33&gt;='VTE PERSONAL'!$D$9,"SI","NO")</f>
        <v>SI</v>
      </c>
      <c r="F33" s="398">
        <f>+'VTE PERSONAL'!K9</f>
        <v>28098708456</v>
      </c>
      <c r="G33" s="98" t="s">
        <v>388</v>
      </c>
      <c r="H33" s="441" t="s">
        <v>876</v>
      </c>
    </row>
    <row r="34" spans="1:8" ht="315" customHeight="1" x14ac:dyDescent="0.2">
      <c r="A34" s="474"/>
      <c r="B34" s="353" t="s">
        <v>731</v>
      </c>
      <c r="C34" s="354" t="s">
        <v>386</v>
      </c>
      <c r="D34" s="431" t="s">
        <v>930</v>
      </c>
      <c r="E34" s="354" t="s">
        <v>386</v>
      </c>
      <c r="F34" s="430" t="s">
        <v>934</v>
      </c>
      <c r="G34" s="98" t="s">
        <v>388</v>
      </c>
      <c r="H34" s="441" t="s">
        <v>876</v>
      </c>
    </row>
    <row r="35" spans="1:8" ht="96.75" customHeight="1" x14ac:dyDescent="0.2">
      <c r="A35" s="474"/>
      <c r="B35" s="353" t="s">
        <v>732</v>
      </c>
      <c r="C35" s="354" t="s">
        <v>387</v>
      </c>
      <c r="D35" s="430" t="s">
        <v>387</v>
      </c>
      <c r="E35" s="354" t="s">
        <v>387</v>
      </c>
      <c r="F35" s="430" t="s">
        <v>387</v>
      </c>
      <c r="G35" s="98" t="s">
        <v>388</v>
      </c>
      <c r="H35" s="441" t="s">
        <v>876</v>
      </c>
    </row>
    <row r="36" spans="1:8" ht="137.25" customHeight="1" x14ac:dyDescent="0.2">
      <c r="A36" s="474"/>
      <c r="B36" s="353" t="s">
        <v>725</v>
      </c>
      <c r="C36" s="354" t="s">
        <v>386</v>
      </c>
      <c r="D36" s="431" t="s">
        <v>924</v>
      </c>
      <c r="E36" s="354" t="s">
        <v>386</v>
      </c>
      <c r="F36" s="431" t="s">
        <v>900</v>
      </c>
      <c r="G36" s="98" t="s">
        <v>388</v>
      </c>
      <c r="H36" s="441" t="s">
        <v>876</v>
      </c>
    </row>
    <row r="37" spans="1:8" ht="58.5" customHeight="1" x14ac:dyDescent="0.2">
      <c r="A37" s="473" t="s">
        <v>738</v>
      </c>
      <c r="B37" s="352" t="s">
        <v>735</v>
      </c>
      <c r="C37" s="98" t="s">
        <v>386</v>
      </c>
      <c r="D37" s="432" t="s">
        <v>849</v>
      </c>
      <c r="E37" s="98" t="s">
        <v>386</v>
      </c>
      <c r="F37" s="432" t="s">
        <v>901</v>
      </c>
      <c r="G37" s="98" t="s">
        <v>388</v>
      </c>
      <c r="H37" s="441" t="s">
        <v>876</v>
      </c>
    </row>
    <row r="38" spans="1:8" ht="79.5" customHeight="1" x14ac:dyDescent="0.2">
      <c r="A38" s="474"/>
      <c r="B38" s="353" t="s">
        <v>733</v>
      </c>
      <c r="C38" s="354" t="s">
        <v>386</v>
      </c>
      <c r="D38" s="430" t="s">
        <v>850</v>
      </c>
      <c r="E38" s="354" t="s">
        <v>386</v>
      </c>
      <c r="F38" s="430" t="s">
        <v>850</v>
      </c>
      <c r="G38" s="98" t="s">
        <v>388</v>
      </c>
      <c r="H38" s="441" t="s">
        <v>876</v>
      </c>
    </row>
    <row r="39" spans="1:8" ht="355.5" customHeight="1" x14ac:dyDescent="0.2">
      <c r="A39" s="474"/>
      <c r="B39" s="353" t="s">
        <v>734</v>
      </c>
      <c r="C39" s="354" t="s">
        <v>386</v>
      </c>
      <c r="D39" s="431" t="s">
        <v>926</v>
      </c>
      <c r="E39" s="354" t="s">
        <v>388</v>
      </c>
      <c r="F39" s="430" t="s">
        <v>940</v>
      </c>
      <c r="G39" s="98" t="s">
        <v>388</v>
      </c>
      <c r="H39" s="441" t="s">
        <v>876</v>
      </c>
    </row>
    <row r="40" spans="1:8" ht="149.25" customHeight="1" x14ac:dyDescent="0.2">
      <c r="A40" s="474"/>
      <c r="B40" s="353" t="s">
        <v>725</v>
      </c>
      <c r="C40" s="354" t="s">
        <v>386</v>
      </c>
      <c r="D40" s="431" t="s">
        <v>925</v>
      </c>
      <c r="E40" s="354" t="s">
        <v>386</v>
      </c>
      <c r="F40" s="430" t="s">
        <v>902</v>
      </c>
      <c r="G40" s="98" t="s">
        <v>388</v>
      </c>
      <c r="H40" s="441" t="s">
        <v>876</v>
      </c>
    </row>
    <row r="41" spans="1:8" ht="85.5" customHeight="1" x14ac:dyDescent="0.2">
      <c r="A41" s="473" t="s">
        <v>742</v>
      </c>
      <c r="B41" s="352" t="s">
        <v>741</v>
      </c>
      <c r="C41" s="98" t="s">
        <v>386</v>
      </c>
      <c r="D41" s="432" t="s">
        <v>853</v>
      </c>
      <c r="E41" s="98" t="s">
        <v>386</v>
      </c>
      <c r="F41" s="432" t="s">
        <v>903</v>
      </c>
      <c r="G41" s="98" t="s">
        <v>388</v>
      </c>
      <c r="H41" s="441" t="s">
        <v>876</v>
      </c>
    </row>
    <row r="42" spans="1:8" ht="35.25" customHeight="1" x14ac:dyDescent="0.2">
      <c r="A42" s="474"/>
      <c r="B42" s="353" t="s">
        <v>739</v>
      </c>
      <c r="C42" s="354" t="s">
        <v>386</v>
      </c>
      <c r="D42" s="430" t="s">
        <v>852</v>
      </c>
      <c r="E42" s="354" t="s">
        <v>386</v>
      </c>
      <c r="F42" s="430" t="s">
        <v>852</v>
      </c>
      <c r="G42" s="98" t="s">
        <v>388</v>
      </c>
      <c r="H42" s="441" t="s">
        <v>876</v>
      </c>
    </row>
    <row r="43" spans="1:8" ht="345" customHeight="1" x14ac:dyDescent="0.2">
      <c r="A43" s="474"/>
      <c r="B43" s="353" t="s">
        <v>740</v>
      </c>
      <c r="C43" s="354" t="s">
        <v>386</v>
      </c>
      <c r="D43" s="439" t="s">
        <v>929</v>
      </c>
      <c r="E43" s="354" t="s">
        <v>388</v>
      </c>
      <c r="F43" s="431" t="s">
        <v>941</v>
      </c>
      <c r="G43" s="98" t="s">
        <v>388</v>
      </c>
      <c r="H43" s="441" t="s">
        <v>876</v>
      </c>
    </row>
    <row r="44" spans="1:8" ht="183.75" customHeight="1" x14ac:dyDescent="0.2">
      <c r="A44" s="475"/>
      <c r="B44" s="353" t="s">
        <v>725</v>
      </c>
      <c r="C44" s="354" t="s">
        <v>386</v>
      </c>
      <c r="D44" s="431" t="s">
        <v>927</v>
      </c>
      <c r="E44" s="354" t="s">
        <v>386</v>
      </c>
      <c r="F44" s="430" t="s">
        <v>904</v>
      </c>
      <c r="G44" s="98" t="s">
        <v>388</v>
      </c>
      <c r="H44" s="441" t="s">
        <v>876</v>
      </c>
    </row>
    <row r="45" spans="1:8" ht="24.95" customHeight="1" x14ac:dyDescent="0.2">
      <c r="A45" s="52" t="s">
        <v>56</v>
      </c>
      <c r="B45" s="59" t="s">
        <v>57</v>
      </c>
      <c r="C45" s="394"/>
      <c r="D45" s="401"/>
      <c r="E45" s="394"/>
      <c r="F45" s="401"/>
      <c r="G45" s="394"/>
      <c r="H45" s="401"/>
    </row>
    <row r="46" spans="1:8" ht="48.75" customHeight="1" x14ac:dyDescent="0.2">
      <c r="A46" s="55"/>
      <c r="B46" s="60" t="s">
        <v>58</v>
      </c>
      <c r="C46" s="51"/>
      <c r="D46" s="410"/>
      <c r="E46" s="51"/>
      <c r="F46" s="410"/>
      <c r="G46" s="51"/>
      <c r="H46" s="410"/>
    </row>
    <row r="47" spans="1:8" ht="32.25" customHeight="1" thickBot="1" x14ac:dyDescent="0.25">
      <c r="A47" s="36"/>
      <c r="B47" s="36"/>
      <c r="C47" s="36"/>
      <c r="D47" s="36"/>
      <c r="E47" s="36"/>
      <c r="F47" s="36"/>
      <c r="G47" s="36"/>
      <c r="H47" s="36"/>
    </row>
    <row r="48" spans="1:8" s="37" customFormat="1" ht="16.5" thickBot="1" x14ac:dyDescent="0.3">
      <c r="A48" s="464" t="s">
        <v>34</v>
      </c>
      <c r="B48" s="465"/>
      <c r="C48" s="466" t="s">
        <v>920</v>
      </c>
      <c r="D48" s="467"/>
      <c r="E48" s="466" t="s">
        <v>81</v>
      </c>
      <c r="F48" s="467"/>
      <c r="G48" s="466" t="s">
        <v>81</v>
      </c>
      <c r="H48" s="467"/>
    </row>
    <row r="49" spans="1:8" x14ac:dyDescent="0.2">
      <c r="D49" s="39"/>
    </row>
    <row r="50" spans="1:8" s="43" customFormat="1" ht="15.75" hidden="1" x14ac:dyDescent="0.25">
      <c r="A50" s="61"/>
      <c r="B50" s="62" t="s">
        <v>59</v>
      </c>
      <c r="C50" s="37"/>
      <c r="D50" s="63">
        <f>+D46</f>
        <v>0</v>
      </c>
      <c r="E50" s="61"/>
      <c r="F50" s="63"/>
      <c r="G50" s="61"/>
      <c r="H50" s="63"/>
    </row>
    <row r="51" spans="1:8" s="43" customFormat="1" ht="15.75" hidden="1" x14ac:dyDescent="0.25">
      <c r="A51" s="61"/>
      <c r="B51" s="62" t="s">
        <v>60</v>
      </c>
      <c r="C51" s="37"/>
      <c r="D51" s="65" t="e">
        <f>+ROUND(IF(D50&lt;=VLOOKUP($B$70,formula,2,FALSE),800*(1-((VLOOKUP($B$70,formula,2,FALSE)-D50)/VLOOKUP($B$70,formula,2,FALSE))),800*(1-2*(ABS(VLOOKUP($B$70,formula,2,FALSE)-D50)/VLOOKUP($B$70,formula,2,FALSE)))),3)</f>
        <v>#DIV/0!</v>
      </c>
      <c r="E51" s="65"/>
      <c r="F51" s="65"/>
      <c r="G51" s="65"/>
      <c r="H51" s="65"/>
    </row>
    <row r="52" spans="1:8" s="43" customFormat="1" ht="15.75" hidden="1" x14ac:dyDescent="0.25">
      <c r="A52" s="61"/>
      <c r="B52" s="62" t="s">
        <v>390</v>
      </c>
      <c r="C52" s="37"/>
      <c r="D52" s="61">
        <f>+'CALIFICACION PERSONAL'!D35</f>
        <v>100</v>
      </c>
      <c r="E52" s="61"/>
      <c r="F52" s="61"/>
      <c r="G52" s="61"/>
      <c r="H52" s="61"/>
    </row>
    <row r="53" spans="1:8" s="43" customFormat="1" ht="15.75" hidden="1" x14ac:dyDescent="0.25">
      <c r="A53" s="61"/>
      <c r="B53" s="62" t="s">
        <v>61</v>
      </c>
      <c r="C53" s="37"/>
      <c r="D53" s="66" t="e">
        <f>SUM(D51:D52)</f>
        <v>#DIV/0!</v>
      </c>
      <c r="E53" s="61"/>
      <c r="F53" s="66"/>
      <c r="G53" s="61"/>
      <c r="H53" s="66"/>
    </row>
    <row r="54" spans="1:8" s="43" customFormat="1" ht="18" hidden="1" x14ac:dyDescent="0.25">
      <c r="A54" s="61"/>
      <c r="B54" s="62" t="s">
        <v>62</v>
      </c>
      <c r="C54" s="67"/>
      <c r="D54" s="68"/>
      <c r="E54" s="68"/>
      <c r="F54" s="68"/>
      <c r="G54" s="68"/>
      <c r="H54" s="68"/>
    </row>
    <row r="55" spans="1:8" s="43" customFormat="1" ht="15.75" hidden="1" x14ac:dyDescent="0.25">
      <c r="A55" s="61"/>
      <c r="B55" s="62"/>
      <c r="C55" s="41"/>
      <c r="D55" s="69"/>
      <c r="E55" s="70"/>
      <c r="F55" s="69"/>
      <c r="G55" s="70"/>
      <c r="H55" s="69"/>
    </row>
    <row r="56" spans="1:8" s="43" customFormat="1" ht="18" hidden="1" x14ac:dyDescent="0.25">
      <c r="A56" s="55" t="s">
        <v>63</v>
      </c>
      <c r="B56" s="83">
        <v>581809201</v>
      </c>
      <c r="C56" s="41"/>
      <c r="D56" s="41"/>
      <c r="E56" s="70"/>
      <c r="F56" s="70"/>
      <c r="G56" s="70"/>
      <c r="H56" s="70"/>
    </row>
    <row r="57" spans="1:8" s="43" customFormat="1" ht="15.75" hidden="1" x14ac:dyDescent="0.25">
      <c r="A57" s="38"/>
      <c r="B57" s="72"/>
      <c r="C57" s="41"/>
      <c r="D57" s="41"/>
      <c r="E57" s="70"/>
      <c r="F57" s="70"/>
      <c r="G57" s="70"/>
      <c r="H57" s="70"/>
    </row>
    <row r="58" spans="1:8" s="43" customFormat="1" ht="18" hidden="1" x14ac:dyDescent="0.25">
      <c r="A58" s="55" t="s">
        <v>70</v>
      </c>
      <c r="B58" s="86">
        <f>+MAX(C50:H50)</f>
        <v>0</v>
      </c>
      <c r="C58" s="41"/>
      <c r="D58" s="41"/>
      <c r="E58" s="70"/>
      <c r="F58" s="70"/>
      <c r="G58" s="70"/>
      <c r="H58" s="70"/>
    </row>
    <row r="59" spans="1:8" s="43" customFormat="1" ht="15.75" hidden="1" x14ac:dyDescent="0.25">
      <c r="A59" s="38"/>
      <c r="B59" s="72"/>
      <c r="C59" s="41"/>
      <c r="D59" s="41"/>
      <c r="E59" s="70"/>
      <c r="F59" s="70"/>
      <c r="G59" s="70"/>
      <c r="H59" s="70"/>
    </row>
    <row r="60" spans="1:8" s="43" customFormat="1" ht="15.75" hidden="1" x14ac:dyDescent="0.25">
      <c r="A60" s="55" t="s">
        <v>64</v>
      </c>
      <c r="B60" s="73" t="s">
        <v>65</v>
      </c>
      <c r="C60" s="41"/>
      <c r="D60" s="64"/>
      <c r="E60" s="70"/>
      <c r="F60" s="70"/>
      <c r="G60" s="70"/>
      <c r="H60" s="70"/>
    </row>
    <row r="61" spans="1:8" s="43" customFormat="1" ht="18" hidden="1" x14ac:dyDescent="0.25">
      <c r="A61" s="55">
        <v>1</v>
      </c>
      <c r="B61" s="74">
        <f>+AVERAGE(D50:H50)</f>
        <v>0</v>
      </c>
      <c r="C61" s="41"/>
      <c r="D61" s="41"/>
      <c r="E61" s="70"/>
      <c r="F61" s="70"/>
      <c r="G61" s="70"/>
      <c r="H61" s="70"/>
    </row>
    <row r="62" spans="1:8" s="43" customFormat="1" ht="18" hidden="1" x14ac:dyDescent="0.25">
      <c r="A62" s="55">
        <v>2</v>
      </c>
      <c r="B62" s="74">
        <f>+(B61+B58)/2</f>
        <v>0</v>
      </c>
      <c r="C62" s="41"/>
      <c r="D62" s="41"/>
      <c r="E62" s="70"/>
      <c r="F62" s="70"/>
      <c r="G62" s="70"/>
      <c r="H62" s="70"/>
    </row>
    <row r="63" spans="1:8" s="43" customFormat="1" ht="18" hidden="1" x14ac:dyDescent="0.25">
      <c r="A63" s="55">
        <v>3</v>
      </c>
      <c r="B63" s="74" t="e">
        <f>+GEOMEAN(D50:H50,B56)</f>
        <v>#NUM!</v>
      </c>
      <c r="C63" s="70"/>
      <c r="D63" s="41"/>
      <c r="E63" s="41"/>
      <c r="F63" s="41"/>
      <c r="G63" s="41"/>
      <c r="H63" s="41"/>
    </row>
    <row r="64" spans="1:8" s="43" customFormat="1" ht="15.75" hidden="1" x14ac:dyDescent="0.25">
      <c r="A64" s="195"/>
      <c r="B64" s="72"/>
      <c r="C64" s="70"/>
      <c r="D64" s="41"/>
      <c r="E64" s="41"/>
      <c r="F64" s="41"/>
      <c r="G64" s="41"/>
      <c r="H64" s="41"/>
    </row>
    <row r="65" spans="1:8" s="43" customFormat="1" ht="18" hidden="1" x14ac:dyDescent="0.25">
      <c r="A65" s="55" t="s">
        <v>66</v>
      </c>
      <c r="B65" s="75">
        <f>+COUNT(C50:H50)</f>
        <v>1</v>
      </c>
      <c r="C65" s="70"/>
      <c r="D65" s="41"/>
      <c r="E65" s="41"/>
      <c r="F65" s="70"/>
      <c r="G65" s="70"/>
      <c r="H65" s="70"/>
    </row>
    <row r="66" spans="1:8" s="43" customFormat="1" ht="18" hidden="1" x14ac:dyDescent="0.25">
      <c r="A66" s="55" t="s">
        <v>67</v>
      </c>
      <c r="B66" s="76">
        <f>+IF(AND(1&lt;=B65,B65&lt;=3),1,IF(AND(4&lt;=B65,B65&lt;=6),2,IF(AND(7&lt;=B65,B65&lt;=10),3,"NO APLICA")))</f>
        <v>1</v>
      </c>
      <c r="C66" s="70"/>
      <c r="D66" s="41"/>
      <c r="E66" s="41"/>
      <c r="F66" s="70"/>
      <c r="G66" s="70"/>
      <c r="H66" s="70"/>
    </row>
    <row r="67" spans="1:8" s="43" customFormat="1" ht="18" hidden="1" x14ac:dyDescent="0.25">
      <c r="A67" s="38"/>
      <c r="B67" s="77"/>
      <c r="C67" s="70"/>
      <c r="D67" s="41"/>
      <c r="E67" s="41"/>
      <c r="F67" s="70"/>
      <c r="G67" s="70"/>
      <c r="H67" s="70"/>
    </row>
    <row r="68" spans="1:8" s="43" customFormat="1" ht="18" hidden="1" x14ac:dyDescent="0.25">
      <c r="A68" s="55" t="s">
        <v>68</v>
      </c>
      <c r="B68" s="78">
        <v>3723.42</v>
      </c>
      <c r="C68" s="70"/>
      <c r="D68" s="41"/>
      <c r="E68" s="41"/>
      <c r="F68" s="70"/>
      <c r="G68" s="70"/>
      <c r="H68" s="70"/>
    </row>
    <row r="69" spans="1:8" s="43" customFormat="1" ht="18" hidden="1" x14ac:dyDescent="0.25">
      <c r="A69" s="55" t="s">
        <v>69</v>
      </c>
      <c r="B69" s="79">
        <f>+MOD(B68,INT(B68))</f>
        <v>0.42000000000007276</v>
      </c>
      <c r="C69" s="70"/>
      <c r="D69" s="41"/>
      <c r="E69" s="41"/>
      <c r="F69" s="70"/>
      <c r="G69" s="70"/>
      <c r="H69" s="70"/>
    </row>
    <row r="70" spans="1:8" s="43" customFormat="1" ht="18" hidden="1" x14ac:dyDescent="0.25">
      <c r="A70" s="55" t="s">
        <v>64</v>
      </c>
      <c r="B70" s="85">
        <f>+IF(AND(0&lt;=B69,B69&lt;=0.33),1,IF(AND(0.34&lt;=B69,B69&lt;=0.66),2,IF(AND(0.67&lt;=B69,B69&lt;=0.99),3,"NO APLICA")))</f>
        <v>2</v>
      </c>
      <c r="C70" s="70"/>
      <c r="D70" s="41"/>
      <c r="E70" s="41"/>
      <c r="F70" s="70"/>
      <c r="G70" s="70"/>
      <c r="H70" s="70"/>
    </row>
    <row r="71" spans="1:8" x14ac:dyDescent="0.2">
      <c r="D71" s="39"/>
    </row>
    <row r="72" spans="1:8" x14ac:dyDescent="0.2">
      <c r="C72" s="39"/>
      <c r="E72" s="40"/>
      <c r="G72" s="40"/>
    </row>
    <row r="73" spans="1:8" ht="15.75" x14ac:dyDescent="0.2">
      <c r="B73" s="32" t="s">
        <v>35</v>
      </c>
      <c r="C73" s="39"/>
      <c r="E73" s="40"/>
      <c r="G73" s="40"/>
    </row>
    <row r="74" spans="1:8" x14ac:dyDescent="0.2">
      <c r="C74" s="39"/>
      <c r="E74" s="40"/>
      <c r="G74" s="40"/>
    </row>
    <row r="75" spans="1:8" x14ac:dyDescent="0.2">
      <c r="C75" s="39"/>
      <c r="E75" s="40"/>
      <c r="G75" s="40"/>
    </row>
    <row r="76" spans="1:8" x14ac:dyDescent="0.2">
      <c r="C76" s="39"/>
      <c r="E76" s="40"/>
      <c r="G76" s="40"/>
    </row>
    <row r="77" spans="1:8" ht="15.75" x14ac:dyDescent="0.2">
      <c r="B77" s="41"/>
      <c r="E77" s="40"/>
      <c r="G77" s="40"/>
    </row>
    <row r="78" spans="1:8" ht="15.75" x14ac:dyDescent="0.2">
      <c r="B78" s="42" t="s">
        <v>36</v>
      </c>
      <c r="C78" s="39"/>
      <c r="E78" s="40"/>
      <c r="G78" s="40"/>
    </row>
    <row r="79" spans="1:8" ht="15.75" x14ac:dyDescent="0.25">
      <c r="B79" s="43" t="s">
        <v>391</v>
      </c>
      <c r="C79" s="39"/>
      <c r="E79" s="40"/>
      <c r="G79" s="40"/>
    </row>
    <row r="80" spans="1:8" ht="15.75" x14ac:dyDescent="0.25">
      <c r="B80" s="43"/>
      <c r="C80" s="39"/>
      <c r="E80" s="40"/>
      <c r="G80" s="40"/>
    </row>
    <row r="81" spans="1:20" ht="15.75" x14ac:dyDescent="0.25">
      <c r="B81" s="43"/>
      <c r="C81" s="39"/>
      <c r="E81" s="40"/>
      <c r="G81" s="40"/>
    </row>
    <row r="82" spans="1:20" ht="15.75" x14ac:dyDescent="0.25">
      <c r="B82" s="43"/>
      <c r="C82" s="39"/>
      <c r="E82" s="40"/>
      <c r="G82" s="40"/>
    </row>
    <row r="83" spans="1:20" ht="15.75" x14ac:dyDescent="0.25">
      <c r="B83" s="43"/>
      <c r="C83" s="39"/>
      <c r="E83" s="40"/>
      <c r="G83" s="40"/>
    </row>
    <row r="84" spans="1:20" ht="15.75" x14ac:dyDescent="0.2">
      <c r="B84" s="42" t="s">
        <v>819</v>
      </c>
      <c r="C84" s="39"/>
      <c r="E84" s="40"/>
      <c r="G84" s="40"/>
    </row>
    <row r="85" spans="1:20" ht="15.75" x14ac:dyDescent="0.25">
      <c r="B85" s="43" t="s">
        <v>391</v>
      </c>
      <c r="C85" s="39"/>
      <c r="E85" s="40"/>
      <c r="G85" s="40"/>
    </row>
    <row r="86" spans="1:20" x14ac:dyDescent="0.2">
      <c r="C86" s="39"/>
      <c r="E86" s="40"/>
      <c r="G86" s="40"/>
    </row>
    <row r="87" spans="1:20" x14ac:dyDescent="0.2">
      <c r="C87" s="39"/>
      <c r="E87" s="40"/>
      <c r="G87" s="40"/>
    </row>
    <row r="88" spans="1:20" x14ac:dyDescent="0.2">
      <c r="C88" s="39"/>
      <c r="E88" s="40"/>
      <c r="G88" s="40"/>
    </row>
    <row r="89" spans="1:20" x14ac:dyDescent="0.2">
      <c r="C89" s="39"/>
      <c r="E89" s="40"/>
      <c r="G89" s="40"/>
    </row>
    <row r="90" spans="1:20" s="95" customFormat="1" ht="15.75" x14ac:dyDescent="0.2">
      <c r="A90" s="101"/>
      <c r="B90" s="42" t="s">
        <v>392</v>
      </c>
      <c r="C90" s="61"/>
      <c r="D90" s="102"/>
      <c r="E90" s="39"/>
      <c r="F90" s="39"/>
      <c r="G90" s="39"/>
      <c r="H90" s="39"/>
      <c r="I90" s="102"/>
      <c r="J90" s="39"/>
      <c r="K90" s="39"/>
      <c r="L90" s="39"/>
      <c r="M90" s="39"/>
      <c r="N90" s="39"/>
      <c r="O90" s="39"/>
      <c r="P90" s="39"/>
      <c r="Q90" s="39"/>
      <c r="R90" s="39"/>
      <c r="S90" s="39"/>
      <c r="T90" s="39"/>
    </row>
    <row r="91" spans="1:20" s="95" customFormat="1" ht="15.75" x14ac:dyDescent="0.25">
      <c r="A91" s="71"/>
      <c r="B91" s="43" t="s">
        <v>391</v>
      </c>
      <c r="C91" s="61"/>
      <c r="D91" s="102"/>
      <c r="E91" s="39"/>
      <c r="F91" s="39"/>
      <c r="G91" s="39"/>
      <c r="H91" s="39"/>
      <c r="I91" s="102"/>
      <c r="J91" s="39"/>
      <c r="K91" s="39"/>
      <c r="L91" s="39"/>
      <c r="M91" s="39"/>
      <c r="N91" s="39"/>
      <c r="O91" s="39"/>
      <c r="P91" s="39"/>
      <c r="Q91" s="39"/>
      <c r="R91" s="39"/>
      <c r="S91" s="39"/>
      <c r="T91" s="39"/>
    </row>
    <row r="92" spans="1:20" s="95" customFormat="1" ht="15.75" x14ac:dyDescent="0.25">
      <c r="A92" s="71"/>
      <c r="B92" s="43"/>
      <c r="C92" s="61"/>
      <c r="D92" s="102"/>
      <c r="E92" s="39"/>
      <c r="F92" s="39"/>
      <c r="G92" s="39"/>
      <c r="H92" s="39"/>
      <c r="I92" s="102"/>
      <c r="J92" s="39"/>
      <c r="K92" s="39"/>
      <c r="L92" s="39"/>
      <c r="M92" s="39"/>
      <c r="N92" s="39"/>
      <c r="O92" s="39"/>
      <c r="P92" s="39"/>
      <c r="Q92" s="39"/>
      <c r="R92" s="39"/>
      <c r="S92" s="39"/>
      <c r="T92" s="39"/>
    </row>
    <row r="93" spans="1:20" s="95" customFormat="1" ht="15.75" x14ac:dyDescent="0.25">
      <c r="A93" s="71"/>
      <c r="B93" s="43"/>
      <c r="C93" s="61"/>
      <c r="D93" s="102"/>
      <c r="E93" s="39"/>
      <c r="F93" s="39"/>
      <c r="G93" s="39"/>
      <c r="H93" s="39"/>
      <c r="I93" s="102"/>
      <c r="J93" s="39"/>
      <c r="K93" s="39"/>
      <c r="L93" s="39"/>
      <c r="M93" s="39"/>
      <c r="N93" s="39"/>
      <c r="O93" s="39"/>
      <c r="P93" s="39"/>
      <c r="Q93" s="39"/>
      <c r="R93" s="39"/>
      <c r="S93" s="39"/>
      <c r="T93" s="39"/>
    </row>
    <row r="94" spans="1:20" s="95" customFormat="1" ht="15.75" x14ac:dyDescent="0.25">
      <c r="A94" s="71"/>
      <c r="B94" s="43"/>
      <c r="C94" s="61"/>
      <c r="D94" s="102"/>
      <c r="E94" s="39"/>
      <c r="F94" s="39"/>
      <c r="G94" s="39"/>
      <c r="H94" s="39"/>
      <c r="I94" s="102"/>
      <c r="J94" s="39"/>
      <c r="K94" s="39"/>
      <c r="L94" s="39"/>
      <c r="M94" s="39"/>
      <c r="N94" s="39"/>
      <c r="O94" s="39"/>
      <c r="P94" s="39"/>
      <c r="Q94" s="39"/>
      <c r="R94" s="39"/>
      <c r="S94" s="39"/>
      <c r="T94" s="39"/>
    </row>
    <row r="95" spans="1:20" s="95" customFormat="1" ht="15.75" x14ac:dyDescent="0.25">
      <c r="A95" s="71"/>
      <c r="B95" s="43"/>
      <c r="C95" s="61"/>
      <c r="D95" s="102"/>
      <c r="E95" s="39"/>
      <c r="F95" s="39"/>
      <c r="G95" s="39"/>
      <c r="H95" s="39"/>
      <c r="I95" s="102"/>
      <c r="J95" s="39"/>
      <c r="K95" s="39"/>
      <c r="L95" s="39"/>
      <c r="M95" s="39"/>
      <c r="N95" s="39"/>
      <c r="O95" s="39"/>
      <c r="P95" s="39"/>
      <c r="Q95" s="39"/>
      <c r="R95" s="39"/>
      <c r="S95" s="39"/>
      <c r="T95" s="39"/>
    </row>
    <row r="96" spans="1:20" ht="15.75" x14ac:dyDescent="0.2">
      <c r="B96" s="42" t="s">
        <v>37</v>
      </c>
      <c r="D96" s="42"/>
      <c r="E96" s="42"/>
      <c r="F96" s="42"/>
      <c r="G96" s="42"/>
      <c r="H96" s="42"/>
    </row>
    <row r="97" spans="1:8" ht="15.75" x14ac:dyDescent="0.25">
      <c r="B97" s="43" t="s">
        <v>38</v>
      </c>
      <c r="D97" s="44"/>
      <c r="E97" s="44"/>
      <c r="F97" s="43"/>
      <c r="G97" s="44"/>
      <c r="H97" s="43"/>
    </row>
    <row r="98" spans="1:8" ht="15.75" x14ac:dyDescent="0.25">
      <c r="B98" s="43" t="s">
        <v>39</v>
      </c>
      <c r="D98" s="44"/>
      <c r="E98" s="44"/>
      <c r="F98" s="43"/>
      <c r="G98" s="44"/>
      <c r="H98" s="43"/>
    </row>
    <row r="99" spans="1:8" ht="14.25" customHeight="1" x14ac:dyDescent="0.25">
      <c r="B99" s="43"/>
      <c r="C99" s="44"/>
      <c r="D99" s="44"/>
      <c r="E99" s="43"/>
      <c r="F99" s="43"/>
      <c r="G99" s="43"/>
      <c r="H99" s="43"/>
    </row>
    <row r="104" spans="1:8" s="39" customFormat="1" x14ac:dyDescent="0.25">
      <c r="A104" s="38"/>
      <c r="C104" s="40"/>
      <c r="D104" s="40"/>
    </row>
    <row r="105" spans="1:8" s="39" customFormat="1" x14ac:dyDescent="0.25">
      <c r="A105" s="38"/>
      <c r="C105" s="40"/>
      <c r="D105" s="40"/>
    </row>
    <row r="106" spans="1:8" s="39" customFormat="1" x14ac:dyDescent="0.25">
      <c r="A106" s="38"/>
      <c r="C106" s="40"/>
      <c r="D106" s="40"/>
    </row>
    <row r="107" spans="1:8" s="39" customFormat="1" x14ac:dyDescent="0.25">
      <c r="A107" s="38"/>
      <c r="C107" s="40"/>
      <c r="D107" s="40"/>
    </row>
    <row r="108" spans="1:8" s="39" customFormat="1" x14ac:dyDescent="0.25">
      <c r="A108" s="38"/>
      <c r="C108" s="40"/>
      <c r="D108" s="40"/>
    </row>
  </sheetData>
  <mergeCells count="24">
    <mergeCell ref="G48:H48"/>
    <mergeCell ref="G10:H10"/>
    <mergeCell ref="G9:H9"/>
    <mergeCell ref="E9:F9"/>
    <mergeCell ref="C10:D10"/>
    <mergeCell ref="E10:F10"/>
    <mergeCell ref="E48:F48"/>
    <mergeCell ref="A48:B48"/>
    <mergeCell ref="C48:D48"/>
    <mergeCell ref="A7:B7"/>
    <mergeCell ref="A9:A11"/>
    <mergeCell ref="B9:B10"/>
    <mergeCell ref="C9:D9"/>
    <mergeCell ref="A16:A23"/>
    <mergeCell ref="A25:A30"/>
    <mergeCell ref="A31:A36"/>
    <mergeCell ref="A37:A40"/>
    <mergeCell ref="A41:A44"/>
    <mergeCell ref="A6:B6"/>
    <mergeCell ref="A1:B1"/>
    <mergeCell ref="A2:B2"/>
    <mergeCell ref="A3:B3"/>
    <mergeCell ref="A4:B4"/>
    <mergeCell ref="A5:B5"/>
  </mergeCells>
  <conditionalFormatting sqref="C17:F18 C28:C32 D28:D30 C26:D26 E28:E32 E34:E36 C34:C36 C21:E21 C16:H16 C22:F23 C19:E19 C20:F20 F28:F30">
    <cfRule type="cellIs" dxfId="299" priority="662" operator="equal">
      <formula>"NO"</formula>
    </cfRule>
  </conditionalFormatting>
  <conditionalFormatting sqref="C48:D48">
    <cfRule type="cellIs" dxfId="298" priority="661" operator="equal">
      <formula>"NO HABIL"</formula>
    </cfRule>
  </conditionalFormatting>
  <conditionalFormatting sqref="H17:H18">
    <cfRule type="cellIs" dxfId="297" priority="658" operator="equal">
      <formula>"NO"</formula>
    </cfRule>
  </conditionalFormatting>
  <conditionalFormatting sqref="C24:H24">
    <cfRule type="cellIs" dxfId="296" priority="656" operator="equal">
      <formula>"NO"</formula>
    </cfRule>
  </conditionalFormatting>
  <conditionalFormatting sqref="C46">
    <cfRule type="cellIs" dxfId="295" priority="655" operator="equal">
      <formula>"NO"</formula>
    </cfRule>
  </conditionalFormatting>
  <conditionalFormatting sqref="C45:F45">
    <cfRule type="cellIs" dxfId="294" priority="654" operator="equal">
      <formula>"NO"</formula>
    </cfRule>
  </conditionalFormatting>
  <conditionalFormatting sqref="G45:H45">
    <cfRule type="cellIs" dxfId="293" priority="652" operator="equal">
      <formula>"NO"</formula>
    </cfRule>
  </conditionalFormatting>
  <conditionalFormatting sqref="D46">
    <cfRule type="cellIs" dxfId="292" priority="649" operator="equal">
      <formula>"NO"</formula>
    </cfRule>
  </conditionalFormatting>
  <conditionalFormatting sqref="E46">
    <cfRule type="cellIs" dxfId="291" priority="648" operator="equal">
      <formula>"NO"</formula>
    </cfRule>
  </conditionalFormatting>
  <conditionalFormatting sqref="G46">
    <cfRule type="cellIs" dxfId="290" priority="647" operator="equal">
      <formula>"NO"</formula>
    </cfRule>
  </conditionalFormatting>
  <conditionalFormatting sqref="C54 E54:G54">
    <cfRule type="cellIs" dxfId="289" priority="633" operator="equal">
      <formula>1</formula>
    </cfRule>
  </conditionalFormatting>
  <conditionalFormatting sqref="E48:F48">
    <cfRule type="cellIs" dxfId="288" priority="332" operator="equal">
      <formula>"NO HABIL"</formula>
    </cfRule>
  </conditionalFormatting>
  <conditionalFormatting sqref="G48:H48">
    <cfRule type="cellIs" dxfId="287" priority="331" operator="equal">
      <formula>"NO HABIL"</formula>
    </cfRule>
  </conditionalFormatting>
  <conditionalFormatting sqref="F46">
    <cfRule type="cellIs" dxfId="286" priority="220" operator="equal">
      <formula>"NO"</formula>
    </cfRule>
  </conditionalFormatting>
  <conditionalFormatting sqref="H46">
    <cfRule type="cellIs" dxfId="285" priority="219" operator="equal">
      <formula>"NO"</formula>
    </cfRule>
  </conditionalFormatting>
  <conditionalFormatting sqref="G19:G20">
    <cfRule type="cellIs" dxfId="284" priority="207" operator="equal">
      <formula>"NO"</formula>
    </cfRule>
  </conditionalFormatting>
  <conditionalFormatting sqref="C37:C40">
    <cfRule type="cellIs" dxfId="283" priority="198" operator="equal">
      <formula>"NO"</formula>
    </cfRule>
  </conditionalFormatting>
  <conditionalFormatting sqref="G22:G23">
    <cfRule type="cellIs" dxfId="282" priority="201" operator="equal">
      <formula>"NO"</formula>
    </cfRule>
  </conditionalFormatting>
  <conditionalFormatting sqref="C25">
    <cfRule type="cellIs" dxfId="281" priority="199" operator="equal">
      <formula>"NO"</formula>
    </cfRule>
  </conditionalFormatting>
  <conditionalFormatting sqref="C41:C44">
    <cfRule type="cellIs" dxfId="280" priority="197" operator="equal">
      <formula>"NO"</formula>
    </cfRule>
  </conditionalFormatting>
  <conditionalFormatting sqref="E25:E26">
    <cfRule type="cellIs" dxfId="279" priority="188" operator="equal">
      <formula>"NO"</formula>
    </cfRule>
  </conditionalFormatting>
  <conditionalFormatting sqref="E37:E40">
    <cfRule type="cellIs" dxfId="278" priority="187" operator="equal">
      <formula>"NO"</formula>
    </cfRule>
  </conditionalFormatting>
  <conditionalFormatting sqref="G25">
    <cfRule type="cellIs" dxfId="277" priority="181" operator="equal">
      <formula>"NO"</formula>
    </cfRule>
  </conditionalFormatting>
  <conditionalFormatting sqref="H20">
    <cfRule type="cellIs" dxfId="276" priority="136" operator="equal">
      <formula>"NO"</formula>
    </cfRule>
  </conditionalFormatting>
  <conditionalFormatting sqref="D25">
    <cfRule type="cellIs" dxfId="275" priority="107" operator="equal">
      <formula>"NO"</formula>
    </cfRule>
  </conditionalFormatting>
  <conditionalFormatting sqref="D31 D35">
    <cfRule type="cellIs" dxfId="274" priority="104" operator="equal">
      <formula>"NO"</formula>
    </cfRule>
  </conditionalFormatting>
  <conditionalFormatting sqref="D37">
    <cfRule type="cellIs" dxfId="273" priority="103" operator="equal">
      <formula>"NO"</formula>
    </cfRule>
  </conditionalFormatting>
  <conditionalFormatting sqref="D41 D43:D44">
    <cfRule type="cellIs" dxfId="272" priority="102" operator="equal">
      <formula>"NO"</formula>
    </cfRule>
  </conditionalFormatting>
  <conditionalFormatting sqref="F25">
    <cfRule type="cellIs" dxfId="271" priority="101" operator="equal">
      <formula>"NO"</formula>
    </cfRule>
  </conditionalFormatting>
  <conditionalFormatting sqref="F31 F35">
    <cfRule type="cellIs" dxfId="270" priority="100" operator="equal">
      <formula>"NO"</formula>
    </cfRule>
  </conditionalFormatting>
  <conditionalFormatting sqref="F37">
    <cfRule type="cellIs" dxfId="269" priority="99" operator="equal">
      <formula>"NO"</formula>
    </cfRule>
  </conditionalFormatting>
  <conditionalFormatting sqref="E41:E44">
    <cfRule type="cellIs" dxfId="268" priority="97" operator="equal">
      <formula>"NO"</formula>
    </cfRule>
  </conditionalFormatting>
  <conditionalFormatting sqref="C27:F27">
    <cfRule type="cellIs" dxfId="267" priority="73" operator="equal">
      <formula>"NO"</formula>
    </cfRule>
  </conditionalFormatting>
  <conditionalFormatting sqref="H25">
    <cfRule type="cellIs" dxfId="266" priority="95" operator="equal">
      <formula>"NO"</formula>
    </cfRule>
  </conditionalFormatting>
  <conditionalFormatting sqref="C14 E14 G14">
    <cfRule type="cellIs" dxfId="265" priority="80" operator="equal">
      <formula>"NO"</formula>
    </cfRule>
  </conditionalFormatting>
  <conditionalFormatting sqref="D54">
    <cfRule type="cellIs" dxfId="264" priority="91" operator="equal">
      <formula>1</formula>
    </cfRule>
  </conditionalFormatting>
  <conditionalFormatting sqref="H54">
    <cfRule type="cellIs" dxfId="263" priority="90" operator="equal">
      <formula>1</formula>
    </cfRule>
  </conditionalFormatting>
  <conditionalFormatting sqref="H22">
    <cfRule type="cellIs" dxfId="262" priority="79" operator="equal">
      <formula>"NO"</formula>
    </cfRule>
  </conditionalFormatting>
  <conditionalFormatting sqref="H21">
    <cfRule type="cellIs" dxfId="261" priority="78" operator="equal">
      <formula>"NO"</formula>
    </cfRule>
  </conditionalFormatting>
  <conditionalFormatting sqref="F21">
    <cfRule type="cellIs" dxfId="260" priority="77" operator="equal">
      <formula>"NO"</formula>
    </cfRule>
  </conditionalFormatting>
  <conditionalFormatting sqref="G17">
    <cfRule type="cellIs" dxfId="259" priority="76" operator="equal">
      <formula>"NO"</formula>
    </cfRule>
  </conditionalFormatting>
  <conditionalFormatting sqref="G18">
    <cfRule type="cellIs" dxfId="258" priority="75" operator="equal">
      <formula>"NO"</formula>
    </cfRule>
  </conditionalFormatting>
  <conditionalFormatting sqref="D14">
    <cfRule type="cellIs" dxfId="257" priority="74" operator="equal">
      <formula>"NO"</formula>
    </cfRule>
  </conditionalFormatting>
  <conditionalFormatting sqref="H36">
    <cfRule type="cellIs" dxfId="256" priority="33" operator="equal">
      <formula>"NO"</formula>
    </cfRule>
  </conditionalFormatting>
  <conditionalFormatting sqref="C33:F33">
    <cfRule type="cellIs" dxfId="255" priority="70" operator="equal">
      <formula>"NO"</formula>
    </cfRule>
  </conditionalFormatting>
  <conditionalFormatting sqref="G32">
    <cfRule type="cellIs" dxfId="254" priority="42" operator="equal">
      <formula>"NO"</formula>
    </cfRule>
  </conditionalFormatting>
  <conditionalFormatting sqref="G39">
    <cfRule type="cellIs" dxfId="253" priority="28" operator="equal">
      <formula>"NO"</formula>
    </cfRule>
  </conditionalFormatting>
  <conditionalFormatting sqref="H33">
    <cfRule type="cellIs" dxfId="252" priority="39" operator="equal">
      <formula>"NO"</formula>
    </cfRule>
  </conditionalFormatting>
  <conditionalFormatting sqref="D32">
    <cfRule type="cellIs" dxfId="251" priority="65" operator="equal">
      <formula>"NO"</formula>
    </cfRule>
  </conditionalFormatting>
  <conditionalFormatting sqref="D34">
    <cfRule type="cellIs" dxfId="250" priority="64" operator="equal">
      <formula>"NO"</formula>
    </cfRule>
  </conditionalFormatting>
  <conditionalFormatting sqref="D36">
    <cfRule type="cellIs" dxfId="249" priority="63" operator="equal">
      <formula>"NO"</formula>
    </cfRule>
  </conditionalFormatting>
  <conditionalFormatting sqref="D38">
    <cfRule type="cellIs" dxfId="248" priority="62" operator="equal">
      <formula>"NO"</formula>
    </cfRule>
  </conditionalFormatting>
  <conditionalFormatting sqref="D40">
    <cfRule type="cellIs" dxfId="247" priority="61" operator="equal">
      <formula>"NO"</formula>
    </cfRule>
  </conditionalFormatting>
  <conditionalFormatting sqref="D39">
    <cfRule type="cellIs" dxfId="246" priority="60" operator="equal">
      <formula>"NO"</formula>
    </cfRule>
  </conditionalFormatting>
  <conditionalFormatting sqref="D42">
    <cfRule type="cellIs" dxfId="245" priority="59" operator="equal">
      <formula>"NO"</formula>
    </cfRule>
  </conditionalFormatting>
  <conditionalFormatting sqref="H23">
    <cfRule type="cellIs" dxfId="244" priority="58" operator="equal">
      <formula>"NO"</formula>
    </cfRule>
  </conditionalFormatting>
  <conditionalFormatting sqref="H19">
    <cfRule type="cellIs" dxfId="243" priority="57" operator="equal">
      <formula>"NO"</formula>
    </cfRule>
  </conditionalFormatting>
  <conditionalFormatting sqref="G21">
    <cfRule type="cellIs" dxfId="242" priority="56" operator="equal">
      <formula>"NO"</formula>
    </cfRule>
  </conditionalFormatting>
  <conditionalFormatting sqref="H14">
    <cfRule type="cellIs" dxfId="241" priority="55" operator="equal">
      <formula>"NO"</formula>
    </cfRule>
  </conditionalFormatting>
  <conditionalFormatting sqref="G26">
    <cfRule type="cellIs" dxfId="240" priority="54" operator="equal">
      <formula>"NO"</formula>
    </cfRule>
  </conditionalFormatting>
  <conditionalFormatting sqref="H26">
    <cfRule type="cellIs" dxfId="239" priority="53" operator="equal">
      <formula>"NO"</formula>
    </cfRule>
  </conditionalFormatting>
  <conditionalFormatting sqref="G27">
    <cfRule type="cellIs" dxfId="238" priority="52" operator="equal">
      <formula>"NO"</formula>
    </cfRule>
  </conditionalFormatting>
  <conditionalFormatting sqref="H27">
    <cfRule type="cellIs" dxfId="237" priority="51" operator="equal">
      <formula>"NO"</formula>
    </cfRule>
  </conditionalFormatting>
  <conditionalFormatting sqref="G28">
    <cfRule type="cellIs" dxfId="236" priority="50" operator="equal">
      <formula>"NO"</formula>
    </cfRule>
  </conditionalFormatting>
  <conditionalFormatting sqref="H28">
    <cfRule type="cellIs" dxfId="235" priority="49" operator="equal">
      <formula>"NO"</formula>
    </cfRule>
  </conditionalFormatting>
  <conditionalFormatting sqref="G29">
    <cfRule type="cellIs" dxfId="234" priority="48" operator="equal">
      <formula>"NO"</formula>
    </cfRule>
  </conditionalFormatting>
  <conditionalFormatting sqref="H29">
    <cfRule type="cellIs" dxfId="233" priority="47" operator="equal">
      <formula>"NO"</formula>
    </cfRule>
  </conditionalFormatting>
  <conditionalFormatting sqref="G30">
    <cfRule type="cellIs" dxfId="232" priority="46" operator="equal">
      <formula>"NO"</formula>
    </cfRule>
  </conditionalFormatting>
  <conditionalFormatting sqref="H30">
    <cfRule type="cellIs" dxfId="231" priority="45" operator="equal">
      <formula>"NO"</formula>
    </cfRule>
  </conditionalFormatting>
  <conditionalFormatting sqref="G31">
    <cfRule type="cellIs" dxfId="230" priority="44" operator="equal">
      <formula>"NO"</formula>
    </cfRule>
  </conditionalFormatting>
  <conditionalFormatting sqref="H31">
    <cfRule type="cellIs" dxfId="229" priority="43" operator="equal">
      <formula>"NO"</formula>
    </cfRule>
  </conditionalFormatting>
  <conditionalFormatting sqref="H32">
    <cfRule type="cellIs" dxfId="228" priority="41" operator="equal">
      <formula>"NO"</formula>
    </cfRule>
  </conditionalFormatting>
  <conditionalFormatting sqref="G33">
    <cfRule type="cellIs" dxfId="227" priority="40" operator="equal">
      <formula>"NO"</formula>
    </cfRule>
  </conditionalFormatting>
  <conditionalFormatting sqref="G34">
    <cfRule type="cellIs" dxfId="226" priority="38" operator="equal">
      <formula>"NO"</formula>
    </cfRule>
  </conditionalFormatting>
  <conditionalFormatting sqref="H34">
    <cfRule type="cellIs" dxfId="225" priority="37" operator="equal">
      <formula>"NO"</formula>
    </cfRule>
  </conditionalFormatting>
  <conditionalFormatting sqref="G35">
    <cfRule type="cellIs" dxfId="224" priority="36" operator="equal">
      <formula>"NO"</formula>
    </cfRule>
  </conditionalFormatting>
  <conditionalFormatting sqref="H35">
    <cfRule type="cellIs" dxfId="223" priority="35" operator="equal">
      <formula>"NO"</formula>
    </cfRule>
  </conditionalFormatting>
  <conditionalFormatting sqref="G36">
    <cfRule type="cellIs" dxfId="222" priority="34" operator="equal">
      <formula>"NO"</formula>
    </cfRule>
  </conditionalFormatting>
  <conditionalFormatting sqref="G37">
    <cfRule type="cellIs" dxfId="221" priority="32" operator="equal">
      <formula>"NO"</formula>
    </cfRule>
  </conditionalFormatting>
  <conditionalFormatting sqref="H37">
    <cfRule type="cellIs" dxfId="220" priority="31" operator="equal">
      <formula>"NO"</formula>
    </cfRule>
  </conditionalFormatting>
  <conditionalFormatting sqref="G38">
    <cfRule type="cellIs" dxfId="219" priority="30" operator="equal">
      <formula>"NO"</formula>
    </cfRule>
  </conditionalFormatting>
  <conditionalFormatting sqref="H38">
    <cfRule type="cellIs" dxfId="218" priority="29" operator="equal">
      <formula>"NO"</formula>
    </cfRule>
  </conditionalFormatting>
  <conditionalFormatting sqref="H39">
    <cfRule type="cellIs" dxfId="217" priority="27" operator="equal">
      <formula>"NO"</formula>
    </cfRule>
  </conditionalFormatting>
  <conditionalFormatting sqref="H44">
    <cfRule type="cellIs" dxfId="216" priority="15" operator="equal">
      <formula>"NO"</formula>
    </cfRule>
  </conditionalFormatting>
  <conditionalFormatting sqref="F14">
    <cfRule type="cellIs" dxfId="215" priority="14" operator="equal">
      <formula>"NO"</formula>
    </cfRule>
  </conditionalFormatting>
  <conditionalFormatting sqref="G40">
    <cfRule type="cellIs" dxfId="214" priority="24" operator="equal">
      <formula>"NO"</formula>
    </cfRule>
  </conditionalFormatting>
  <conditionalFormatting sqref="H40">
    <cfRule type="cellIs" dxfId="213" priority="23" operator="equal">
      <formula>"NO"</formula>
    </cfRule>
  </conditionalFormatting>
  <conditionalFormatting sqref="G41">
    <cfRule type="cellIs" dxfId="212" priority="22" operator="equal">
      <formula>"NO"</formula>
    </cfRule>
  </conditionalFormatting>
  <conditionalFormatting sqref="H41">
    <cfRule type="cellIs" dxfId="211" priority="21" operator="equal">
      <formula>"NO"</formula>
    </cfRule>
  </conditionalFormatting>
  <conditionalFormatting sqref="G42">
    <cfRule type="cellIs" dxfId="210" priority="20" operator="equal">
      <formula>"NO"</formula>
    </cfRule>
  </conditionalFormatting>
  <conditionalFormatting sqref="H42">
    <cfRule type="cellIs" dxfId="209" priority="19" operator="equal">
      <formula>"NO"</formula>
    </cfRule>
  </conditionalFormatting>
  <conditionalFormatting sqref="G43">
    <cfRule type="cellIs" dxfId="208" priority="18" operator="equal">
      <formula>"NO"</formula>
    </cfRule>
  </conditionalFormatting>
  <conditionalFormatting sqref="H43">
    <cfRule type="cellIs" dxfId="207" priority="17" operator="equal">
      <formula>"NO"</formula>
    </cfRule>
  </conditionalFormatting>
  <conditionalFormatting sqref="G44">
    <cfRule type="cellIs" dxfId="206" priority="16" operator="equal">
      <formula>"NO"</formula>
    </cfRule>
  </conditionalFormatting>
  <conditionalFormatting sqref="F19">
    <cfRule type="cellIs" dxfId="205" priority="13" operator="equal">
      <formula>"NO"</formula>
    </cfRule>
  </conditionalFormatting>
  <conditionalFormatting sqref="F26">
    <cfRule type="cellIs" dxfId="204" priority="12" operator="equal">
      <formula>"NO"</formula>
    </cfRule>
  </conditionalFormatting>
  <conditionalFormatting sqref="F32">
    <cfRule type="cellIs" dxfId="203" priority="11" operator="equal">
      <formula>"NO"</formula>
    </cfRule>
  </conditionalFormatting>
  <conditionalFormatting sqref="F34">
    <cfRule type="cellIs" dxfId="202" priority="9" operator="equal">
      <formula>"NO"</formula>
    </cfRule>
  </conditionalFormatting>
  <conditionalFormatting sqref="F36">
    <cfRule type="cellIs" dxfId="201" priority="8" operator="equal">
      <formula>"NO"</formula>
    </cfRule>
  </conditionalFormatting>
  <conditionalFormatting sqref="F38">
    <cfRule type="cellIs" dxfId="200" priority="7" operator="equal">
      <formula>"NO"</formula>
    </cfRule>
  </conditionalFormatting>
  <conditionalFormatting sqref="F39">
    <cfRule type="cellIs" dxfId="199" priority="6" operator="equal">
      <formula>"NO"</formula>
    </cfRule>
  </conditionalFormatting>
  <conditionalFormatting sqref="F40">
    <cfRule type="cellIs" dxfId="198" priority="5" operator="equal">
      <formula>"NO"</formula>
    </cfRule>
  </conditionalFormatting>
  <conditionalFormatting sqref="F41">
    <cfRule type="cellIs" dxfId="197" priority="4" operator="equal">
      <formula>"NO"</formula>
    </cfRule>
  </conditionalFormatting>
  <conditionalFormatting sqref="F42">
    <cfRule type="cellIs" dxfId="196" priority="3" operator="equal">
      <formula>"NO"</formula>
    </cfRule>
  </conditionalFormatting>
  <conditionalFormatting sqref="F43">
    <cfRule type="cellIs" dxfId="195" priority="2" operator="equal">
      <formula>"NO"</formula>
    </cfRule>
  </conditionalFormatting>
  <conditionalFormatting sqref="F44">
    <cfRule type="cellIs" dxfId="194" priority="1" operator="equal">
      <formula>"NO"</formula>
    </cfRule>
  </conditionalFormatting>
  <pageMargins left="0.47244094488188981" right="0.47244094488188981" top="0.59055118110236227" bottom="0.59055118110236227" header="0.23622047244094491" footer="0.31496062992125984"/>
  <pageSetup scale="2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87"/>
  <sheetViews>
    <sheetView view="pageBreakPreview" zoomScale="90" zoomScaleNormal="90" zoomScaleSheetLayoutView="90" workbookViewId="0">
      <pane xSplit="5" ySplit="3" topLeftCell="F4" activePane="bottomRight" state="frozen"/>
      <selection pane="topRight" activeCell="F1" sqref="F1"/>
      <selection pane="bottomLeft" activeCell="A4" sqref="A4"/>
      <selection pane="bottomRight" activeCell="K13" sqref="K13"/>
    </sheetView>
  </sheetViews>
  <sheetFormatPr baseColWidth="10" defaultRowHeight="15" x14ac:dyDescent="0.25"/>
  <cols>
    <col min="1" max="2" width="20.7109375" style="2" customWidth="1"/>
    <col min="3" max="3" width="2.7109375" style="2" customWidth="1"/>
    <col min="4" max="4" width="20.7109375" style="2" customWidth="1"/>
    <col min="5" max="5" width="2.7109375" style="2" customWidth="1"/>
    <col min="6" max="6" width="8.7109375" style="2" customWidth="1"/>
    <col min="7" max="7" width="22.5703125" style="2" customWidth="1"/>
    <col min="8" max="8" width="20.7109375" style="2" customWidth="1"/>
    <col min="9" max="9" width="3.28515625" customWidth="1"/>
    <col min="10" max="10" width="8.7109375" style="2" customWidth="1"/>
    <col min="11" max="12" width="20.7109375" style="2" customWidth="1"/>
    <col min="13" max="13" width="3.28515625" customWidth="1"/>
    <col min="14" max="14" width="8.7109375" style="2" customWidth="1"/>
    <col min="15" max="16" width="20.7109375" style="2" customWidth="1"/>
    <col min="17" max="17" width="3.28515625" customWidth="1"/>
    <col min="18" max="18" width="20.7109375" style="2" customWidth="1"/>
    <col min="19" max="19" width="3.28515625" customWidth="1"/>
  </cols>
  <sheetData>
    <row r="1" spans="1:18" x14ac:dyDescent="0.25">
      <c r="A1" s="483" t="s">
        <v>16</v>
      </c>
      <c r="B1" s="483"/>
      <c r="C1" s="4"/>
      <c r="D1" s="5" t="s">
        <v>17</v>
      </c>
      <c r="E1" s="4"/>
      <c r="F1" s="4"/>
      <c r="G1" s="87">
        <v>1</v>
      </c>
      <c r="H1" s="4"/>
      <c r="J1" s="4"/>
      <c r="K1" s="87">
        <v>2</v>
      </c>
      <c r="L1" s="4"/>
      <c r="N1" s="4"/>
      <c r="O1" s="87">
        <v>3</v>
      </c>
      <c r="P1" s="4"/>
      <c r="R1" s="4"/>
    </row>
    <row r="2" spans="1:18" ht="25.5" x14ac:dyDescent="0.25">
      <c r="A2" s="483"/>
      <c r="B2" s="483"/>
      <c r="C2" s="6"/>
      <c r="D2" s="7" t="s">
        <v>712</v>
      </c>
      <c r="E2" s="6"/>
      <c r="F2" s="6"/>
      <c r="G2" s="88" t="str">
        <f>'VERIFICACIÓN TÉCNICA'!C10</f>
        <v>CONSORCIO TULCAN 2020</v>
      </c>
      <c r="H2" s="6"/>
      <c r="J2" s="6"/>
      <c r="K2" s="88" t="str">
        <f>'VERIFICACIÓN TÉCNICA'!E10</f>
        <v>CONSORCIO UNIDEPOR 2020</v>
      </c>
      <c r="L2" s="6"/>
      <c r="N2" s="6"/>
      <c r="O2" s="88" t="str">
        <f>'VERIFICACIÓN TÉCNICA'!G10</f>
        <v>CONSORCIO DEPORTIVO 2020</v>
      </c>
      <c r="P2" s="6"/>
      <c r="R2" s="6"/>
    </row>
    <row r="3" spans="1:18" x14ac:dyDescent="0.25">
      <c r="C3" s="8"/>
      <c r="E3" s="8"/>
      <c r="F3" s="8"/>
      <c r="G3" s="9"/>
      <c r="H3" s="8"/>
      <c r="J3" s="8"/>
      <c r="K3" s="9"/>
      <c r="L3" s="8"/>
      <c r="N3" s="8"/>
      <c r="O3" s="9"/>
      <c r="P3" s="8"/>
      <c r="R3" s="8"/>
    </row>
    <row r="4" spans="1:18" s="167" customFormat="1" x14ac:dyDescent="0.25">
      <c r="A4" s="484" t="s">
        <v>18</v>
      </c>
      <c r="B4" s="485"/>
      <c r="C4" s="162"/>
      <c r="D4" s="181">
        <v>7067912240</v>
      </c>
      <c r="E4" s="162"/>
      <c r="F4" s="169" t="s">
        <v>20</v>
      </c>
      <c r="G4" s="170">
        <f>SUM(G5:G7)</f>
        <v>17843887232</v>
      </c>
      <c r="H4" s="171" t="str">
        <f>+IF(G4&gt;=$D4,"CUMPLE","NO CUMPLE")</f>
        <v>CUMPLE</v>
      </c>
      <c r="J4" s="169" t="s">
        <v>20</v>
      </c>
      <c r="K4" s="170">
        <f>SUM(K5:K7)</f>
        <v>6692924272</v>
      </c>
      <c r="L4" s="171" t="str">
        <f>+IF(K4&gt;=$D4,"CUMPLE","NO CUMPLE")</f>
        <v>NO CUMPLE</v>
      </c>
      <c r="N4" s="169" t="s">
        <v>20</v>
      </c>
      <c r="O4" s="170">
        <f>SUM(O5:O7)</f>
        <v>15678175290</v>
      </c>
      <c r="P4" s="171" t="str">
        <f>+IF(O4&gt;=$D4,"CUMPLE","NO CUMPLE")</f>
        <v>CUMPLE</v>
      </c>
      <c r="R4" s="171"/>
    </row>
    <row r="5" spans="1:18" x14ac:dyDescent="0.25">
      <c r="A5" s="172"/>
      <c r="B5" s="173"/>
      <c r="D5" s="174"/>
      <c r="F5" s="47" t="s">
        <v>19</v>
      </c>
      <c r="G5" s="49">
        <f>+SUMIF(F$19:F$89,F5,G$19:G$89)</f>
        <v>9738629949</v>
      </c>
      <c r="H5" s="9"/>
      <c r="J5" s="47" t="s">
        <v>19</v>
      </c>
      <c r="K5" s="49">
        <f>+SUMIF(J$19:J$89,J5,K$19:K$89)</f>
        <v>6034351153</v>
      </c>
      <c r="L5" s="9"/>
      <c r="N5" s="47" t="s">
        <v>19</v>
      </c>
      <c r="O5" s="49">
        <f>+SUMIF(N$19:N$89,N5,O$19:O$89)</f>
        <v>625206439</v>
      </c>
      <c r="P5" s="9"/>
      <c r="R5" s="9"/>
    </row>
    <row r="6" spans="1:18" x14ac:dyDescent="0.25">
      <c r="A6" s="175"/>
      <c r="B6" s="175"/>
      <c r="D6" s="176"/>
      <c r="F6" s="47" t="s">
        <v>54</v>
      </c>
      <c r="G6" s="49">
        <f>+SUMIF(F$19:F$89,F6,G$19:G$89)</f>
        <v>8105257283</v>
      </c>
      <c r="H6" s="9"/>
      <c r="J6" s="47" t="s">
        <v>54</v>
      </c>
      <c r="K6" s="49">
        <f t="shared" ref="K6:K7" si="0">+SUMIF(J$19:J$89,J6,K$19:K$89)</f>
        <v>658573119</v>
      </c>
      <c r="L6" s="9"/>
      <c r="N6" s="47" t="s">
        <v>54</v>
      </c>
      <c r="O6" s="49">
        <f t="shared" ref="O6:O7" si="1">+SUMIF(N$19:N$89,N6,O$19:O$89)</f>
        <v>8205850930</v>
      </c>
      <c r="P6" s="9"/>
      <c r="R6" s="9"/>
    </row>
    <row r="7" spans="1:18" x14ac:dyDescent="0.25">
      <c r="A7" s="175"/>
      <c r="B7" s="175"/>
      <c r="D7" s="176"/>
      <c r="F7" s="47"/>
      <c r="G7" s="49">
        <f>+SUMIF(F$19:F$89,F7,G$19:G$89)</f>
        <v>0</v>
      </c>
      <c r="H7" s="461"/>
      <c r="J7" s="47" t="s">
        <v>717</v>
      </c>
      <c r="K7" s="49">
        <f t="shared" si="0"/>
        <v>0</v>
      </c>
      <c r="L7" s="9"/>
      <c r="N7" s="47" t="s">
        <v>717</v>
      </c>
      <c r="O7" s="49">
        <f t="shared" si="1"/>
        <v>6847117921</v>
      </c>
      <c r="P7" s="9"/>
      <c r="R7" s="9"/>
    </row>
    <row r="8" spans="1:18" x14ac:dyDescent="0.25">
      <c r="A8" s="10"/>
      <c r="B8" s="10"/>
      <c r="D8" s="46"/>
      <c r="G8" s="46"/>
      <c r="H8" s="9"/>
      <c r="K8" s="46"/>
      <c r="L8" s="9"/>
      <c r="O8" s="46"/>
      <c r="P8" s="9"/>
      <c r="R8" s="9"/>
    </row>
    <row r="9" spans="1:18" x14ac:dyDescent="0.25">
      <c r="A9" s="491" t="s">
        <v>384</v>
      </c>
      <c r="B9" s="492"/>
      <c r="D9" s="497">
        <v>0.3</v>
      </c>
      <c r="F9" s="47" t="s">
        <v>19</v>
      </c>
      <c r="G9" s="48">
        <v>0.5</v>
      </c>
      <c r="H9" s="9" t="s">
        <v>723</v>
      </c>
      <c r="J9" s="47" t="s">
        <v>19</v>
      </c>
      <c r="K9" s="48">
        <v>0.4</v>
      </c>
      <c r="L9" s="9" t="s">
        <v>722</v>
      </c>
      <c r="N9" s="47" t="s">
        <v>19</v>
      </c>
      <c r="O9" s="48">
        <v>0.3</v>
      </c>
      <c r="P9" s="9" t="s">
        <v>719</v>
      </c>
      <c r="R9" s="9"/>
    </row>
    <row r="10" spans="1:18" x14ac:dyDescent="0.25">
      <c r="A10" s="493"/>
      <c r="B10" s="494"/>
      <c r="D10" s="498"/>
      <c r="F10" s="47" t="s">
        <v>54</v>
      </c>
      <c r="G10" s="48">
        <v>0.5</v>
      </c>
      <c r="H10" s="9" t="s">
        <v>713</v>
      </c>
      <c r="J10" s="47" t="s">
        <v>54</v>
      </c>
      <c r="K10" s="48">
        <v>0.3</v>
      </c>
      <c r="L10" s="9" t="s">
        <v>877</v>
      </c>
      <c r="N10" s="47" t="s">
        <v>54</v>
      </c>
      <c r="O10" s="48">
        <v>0.3</v>
      </c>
      <c r="P10" s="9" t="s">
        <v>720</v>
      </c>
      <c r="R10" s="9"/>
    </row>
    <row r="11" spans="1:18" x14ac:dyDescent="0.25">
      <c r="A11" s="495"/>
      <c r="B11" s="496"/>
      <c r="D11" s="499"/>
      <c r="F11" s="47"/>
      <c r="G11" s="48"/>
      <c r="H11" s="9"/>
      <c r="J11" s="47" t="s">
        <v>717</v>
      </c>
      <c r="K11" s="48">
        <v>0.3</v>
      </c>
      <c r="L11" s="9" t="s">
        <v>718</v>
      </c>
      <c r="N11" s="47" t="s">
        <v>717</v>
      </c>
      <c r="O11" s="48">
        <v>0.4</v>
      </c>
      <c r="P11" s="9" t="s">
        <v>721</v>
      </c>
      <c r="R11" s="9"/>
    </row>
    <row r="12" spans="1:18" x14ac:dyDescent="0.25">
      <c r="A12" s="10"/>
      <c r="B12" s="10"/>
      <c r="D12" s="46"/>
      <c r="G12" s="46"/>
      <c r="H12" s="9"/>
      <c r="K12" s="46"/>
      <c r="L12" s="9"/>
      <c r="O12" s="46"/>
      <c r="P12" s="9"/>
      <c r="R12" s="9"/>
    </row>
    <row r="13" spans="1:18" s="197" customFormat="1" ht="30.75" customHeight="1" x14ac:dyDescent="0.25">
      <c r="A13" s="489" t="s">
        <v>715</v>
      </c>
      <c r="B13" s="490"/>
      <c r="C13" s="348"/>
      <c r="D13" s="351">
        <v>0.4</v>
      </c>
      <c r="E13" s="348"/>
      <c r="F13" s="349" t="s">
        <v>19</v>
      </c>
      <c r="G13" s="350">
        <f>+SUMIF(F$19:F$89,F13,G$19:G$89)</f>
        <v>9738629949</v>
      </c>
      <c r="H13" s="193" t="str">
        <f>+IF(VLOOKUP(F13,F$9:G$11,2,FALSE)&gt;=40%,"CUMPLE","NO CUMPLE")</f>
        <v>CUMPLE</v>
      </c>
      <c r="J13" s="349" t="s">
        <v>19</v>
      </c>
      <c r="K13" s="350">
        <f>+SUMIF(J$19:J$89,J13,K$19:K$89)</f>
        <v>6034351153</v>
      </c>
      <c r="L13" s="193" t="str">
        <f>+IF(VLOOKUP(J13,J$9:K$11,2,FALSE)&gt;=40%,"CUMPLE","NO CUMPLE")</f>
        <v>CUMPLE</v>
      </c>
      <c r="N13" s="349" t="s">
        <v>54</v>
      </c>
      <c r="O13" s="350">
        <f>+SUMIF(N$19:N$89,N13,O$19:O$89)</f>
        <v>8205850930</v>
      </c>
      <c r="P13" s="193" t="str">
        <f>+IF(VLOOKUP(N13,N$9:O$11,2,FALSE)&gt;=40%,"CUMPLE","NO CUMPLE")</f>
        <v>NO CUMPLE</v>
      </c>
      <c r="R13" s="194"/>
    </row>
    <row r="14" spans="1:18" s="2" customFormat="1" x14ac:dyDescent="0.25">
      <c r="A14" s="177"/>
      <c r="B14" s="177"/>
      <c r="D14" s="178"/>
      <c r="F14" s="179"/>
      <c r="G14" s="180"/>
      <c r="H14" s="9"/>
      <c r="J14" s="179"/>
      <c r="K14" s="180"/>
      <c r="L14" s="9"/>
      <c r="N14" s="179"/>
      <c r="O14" s="180"/>
      <c r="P14" s="9"/>
      <c r="R14" s="9"/>
    </row>
    <row r="15" spans="1:18" x14ac:dyDescent="0.25">
      <c r="A15" s="486" t="s">
        <v>385</v>
      </c>
      <c r="B15" s="487"/>
      <c r="D15" s="488">
        <f>+ROUND(D4*0.3,0)</f>
        <v>2120373672</v>
      </c>
      <c r="F15" s="47" t="s">
        <v>19</v>
      </c>
      <c r="G15" s="49">
        <f>+SUMIF(F$19:F$125,F15,G$19:G$125)</f>
        <v>9738629949</v>
      </c>
      <c r="H15" s="481" t="str">
        <f>+IF(MIN(G15:G16)&gt;=$D$15,"CUMPLE","NO CUMPLE")</f>
        <v>CUMPLE</v>
      </c>
      <c r="J15" s="47" t="s">
        <v>19</v>
      </c>
      <c r="K15" s="49">
        <f>+SUMIF(J$19:J$125,J15,K$19:K$125)</f>
        <v>6034351153</v>
      </c>
      <c r="L15" s="481" t="str">
        <f>+IF(MIN(K15:K17)&gt;=$D$15,"CUMPLE","NO CUMPLE")</f>
        <v>NO CUMPLE</v>
      </c>
      <c r="N15" s="47" t="s">
        <v>19</v>
      </c>
      <c r="O15" s="49">
        <f>+SUMIF(N$19:N$125,N15,O$19:O$125)</f>
        <v>625206439</v>
      </c>
      <c r="P15" s="481" t="str">
        <f>+IF(MIN(O15:O17)&gt;=$D$15,"CUMPLE","NO CUMPLE")</f>
        <v>NO CUMPLE</v>
      </c>
      <c r="R15" s="9"/>
    </row>
    <row r="16" spans="1:18" x14ac:dyDescent="0.25">
      <c r="A16" s="487"/>
      <c r="B16" s="487"/>
      <c r="D16" s="488"/>
      <c r="F16" s="47" t="s">
        <v>54</v>
      </c>
      <c r="G16" s="49">
        <f t="shared" ref="G16" si="2">+SUMIF(F$19:F$125,F16,G$19:G$125)</f>
        <v>8105257283</v>
      </c>
      <c r="H16" s="481"/>
      <c r="J16" s="47" t="s">
        <v>54</v>
      </c>
      <c r="K16" s="49">
        <f t="shared" ref="K16" si="3">+SUMIF(J$19:J$125,J16,K$19:K$125)</f>
        <v>1753928904</v>
      </c>
      <c r="L16" s="481"/>
      <c r="N16" s="47" t="s">
        <v>54</v>
      </c>
      <c r="O16" s="49">
        <f t="shared" ref="O16" si="4">+SUMIF(N$19:N$125,N16,O$19:O$125)</f>
        <v>8205850930</v>
      </c>
      <c r="P16" s="481"/>
      <c r="R16" s="9"/>
    </row>
    <row r="17" spans="1:18" x14ac:dyDescent="0.25">
      <c r="A17" s="487"/>
      <c r="B17" s="487"/>
      <c r="D17" s="488"/>
      <c r="F17" s="47"/>
      <c r="G17" s="49">
        <f>+SUMIF(F$19:F$89,F17,G$19:G$89)</f>
        <v>0</v>
      </c>
      <c r="H17" s="481"/>
      <c r="J17" s="47" t="s">
        <v>717</v>
      </c>
      <c r="K17" s="49">
        <f>+SUMIF(J$19:J$125,J17,K$19:K$125)</f>
        <v>3454249128</v>
      </c>
      <c r="L17" s="481"/>
      <c r="N17" s="47" t="s">
        <v>717</v>
      </c>
      <c r="O17" s="49">
        <f>+SUMIF(N$19:N$125,N17,O$19:O$125)</f>
        <v>6847117921</v>
      </c>
      <c r="P17" s="481"/>
      <c r="R17" s="9"/>
    </row>
    <row r="18" spans="1:18" x14ac:dyDescent="0.25">
      <c r="A18" s="10"/>
      <c r="K18" s="46"/>
    </row>
    <row r="19" spans="1:18" x14ac:dyDescent="0.25">
      <c r="A19" s="164" t="s">
        <v>21</v>
      </c>
      <c r="B19" s="11"/>
      <c r="D19" s="171" t="s">
        <v>383</v>
      </c>
      <c r="F19" s="27"/>
      <c r="G19" s="165" t="s">
        <v>21</v>
      </c>
      <c r="H19" s="166"/>
      <c r="I19" s="167"/>
      <c r="J19" s="168"/>
      <c r="K19" s="165" t="s">
        <v>21</v>
      </c>
      <c r="L19" s="166"/>
      <c r="M19" s="167"/>
      <c r="N19" s="168"/>
      <c r="O19" s="165" t="s">
        <v>21</v>
      </c>
      <c r="P19" s="166"/>
      <c r="Q19" s="167"/>
      <c r="R19" s="24"/>
    </row>
    <row r="20" spans="1:18" x14ac:dyDescent="0.25">
      <c r="A20" s="12"/>
      <c r="B20" s="13"/>
      <c r="F20" s="25"/>
      <c r="G20" s="24"/>
      <c r="H20" s="19"/>
      <c r="J20" s="25"/>
      <c r="K20" s="24"/>
      <c r="L20" s="19"/>
      <c r="N20" s="25"/>
      <c r="O20" s="24"/>
      <c r="P20" s="19"/>
      <c r="R20" s="24"/>
    </row>
    <row r="21" spans="1:18" x14ac:dyDescent="0.25">
      <c r="A21" s="12" t="s">
        <v>22</v>
      </c>
      <c r="B21" s="13"/>
      <c r="D21" s="193">
        <v>721413</v>
      </c>
      <c r="F21" s="14" t="s">
        <v>23</v>
      </c>
      <c r="G21" s="189">
        <v>6673970912</v>
      </c>
      <c r="H21" s="16" t="s">
        <v>15</v>
      </c>
      <c r="J21" s="14" t="s">
        <v>23</v>
      </c>
      <c r="K21" s="189">
        <v>9059793011</v>
      </c>
      <c r="L21" s="16" t="s">
        <v>15</v>
      </c>
      <c r="N21" s="14" t="s">
        <v>23</v>
      </c>
      <c r="O21" s="15">
        <v>17127337216</v>
      </c>
      <c r="P21" s="16" t="s">
        <v>15</v>
      </c>
      <c r="R21" s="3"/>
    </row>
    <row r="22" spans="1:18" ht="15" customHeight="1" x14ac:dyDescent="0.25">
      <c r="A22" s="12" t="s">
        <v>24</v>
      </c>
      <c r="B22" s="13"/>
      <c r="D22" s="193">
        <v>721411</v>
      </c>
      <c r="F22" s="25"/>
      <c r="G22" s="24">
        <v>2015</v>
      </c>
      <c r="H22" s="482" t="s">
        <v>827</v>
      </c>
      <c r="J22" s="25"/>
      <c r="K22" s="24">
        <v>2012</v>
      </c>
      <c r="L22" s="482" t="s">
        <v>881</v>
      </c>
      <c r="N22" s="25"/>
      <c r="O22" s="24">
        <v>2018</v>
      </c>
      <c r="P22" s="482" t="s">
        <v>826</v>
      </c>
      <c r="R22" s="440"/>
    </row>
    <row r="23" spans="1:18" x14ac:dyDescent="0.25">
      <c r="A23" s="17" t="s">
        <v>25</v>
      </c>
      <c r="B23" s="13"/>
      <c r="D23" s="194">
        <v>721015</v>
      </c>
      <c r="F23" s="50">
        <v>0.5</v>
      </c>
      <c r="G23" s="45">
        <v>0.5</v>
      </c>
      <c r="H23" s="482"/>
      <c r="J23" s="188">
        <v>0.43</v>
      </c>
      <c r="K23" s="187">
        <v>0.43</v>
      </c>
      <c r="L23" s="482"/>
      <c r="N23" s="188">
        <v>0.25</v>
      </c>
      <c r="O23" s="187">
        <v>0.25</v>
      </c>
      <c r="P23" s="482"/>
      <c r="R23" s="440"/>
    </row>
    <row r="24" spans="1:18" ht="15" customHeight="1" x14ac:dyDescent="0.25">
      <c r="A24" s="17"/>
      <c r="B24" s="13"/>
      <c r="D24" s="194">
        <v>721029</v>
      </c>
      <c r="F24" s="25"/>
      <c r="G24" s="18"/>
      <c r="H24" s="482"/>
      <c r="J24" s="25"/>
      <c r="K24" s="18"/>
      <c r="L24" s="482"/>
      <c r="N24" s="25"/>
      <c r="O24" s="445"/>
      <c r="P24" s="482"/>
      <c r="R24" s="440"/>
    </row>
    <row r="25" spans="1:18" x14ac:dyDescent="0.25">
      <c r="A25" s="17"/>
      <c r="B25" s="13"/>
      <c r="D25" s="194">
        <v>721214</v>
      </c>
      <c r="F25" s="25"/>
      <c r="G25" s="18"/>
      <c r="H25" s="482"/>
      <c r="J25" s="25"/>
      <c r="K25" s="18"/>
      <c r="L25" s="482"/>
      <c r="N25" s="25"/>
      <c r="O25" s="445"/>
      <c r="P25" s="482"/>
      <c r="R25" s="440"/>
    </row>
    <row r="26" spans="1:18" x14ac:dyDescent="0.25">
      <c r="A26" s="17"/>
      <c r="B26" s="13"/>
      <c r="D26" s="194">
        <v>721531</v>
      </c>
      <c r="F26" s="25"/>
      <c r="G26" s="18"/>
      <c r="H26" s="482"/>
      <c r="J26" s="25"/>
      <c r="K26" s="18"/>
      <c r="L26" s="482"/>
      <c r="N26" s="25"/>
      <c r="O26" s="445"/>
      <c r="P26" s="482"/>
      <c r="R26" s="440"/>
    </row>
    <row r="27" spans="1:18" x14ac:dyDescent="0.25">
      <c r="A27" s="17"/>
      <c r="B27" s="13"/>
      <c r="D27" s="194">
        <v>951223</v>
      </c>
      <c r="F27" s="25"/>
      <c r="G27" s="18"/>
      <c r="H27" s="482"/>
      <c r="J27" s="25"/>
      <c r="K27" s="18"/>
      <c r="L27" s="482"/>
      <c r="N27" s="25"/>
      <c r="O27" s="445"/>
      <c r="P27" s="482"/>
      <c r="R27" s="440"/>
    </row>
    <row r="28" spans="1:18" x14ac:dyDescent="0.25">
      <c r="A28" s="12"/>
      <c r="B28" s="13"/>
      <c r="D28" s="194">
        <v>951116</v>
      </c>
      <c r="F28" s="25"/>
      <c r="G28" s="18"/>
      <c r="H28" s="482"/>
      <c r="J28" s="25"/>
      <c r="K28" s="18"/>
      <c r="L28" s="482"/>
      <c r="N28" s="25"/>
      <c r="O28" s="445"/>
      <c r="P28" s="482"/>
      <c r="R28" s="440"/>
    </row>
    <row r="29" spans="1:18" x14ac:dyDescent="0.25">
      <c r="A29" s="20" t="s">
        <v>27</v>
      </c>
      <c r="B29" s="21"/>
      <c r="D29" s="194">
        <v>811015</v>
      </c>
      <c r="F29" s="22" t="s">
        <v>19</v>
      </c>
      <c r="G29" s="23">
        <f>+ROUND(G21*G23*$B$187/(LOOKUP(G22,$A$153:$A$187,$B$153:$B$187)),0)</f>
        <v>4546001155</v>
      </c>
      <c r="H29" s="26">
        <f>+ROUND(G29/$B$187,2)</f>
        <v>5178.84</v>
      </c>
      <c r="J29" s="22" t="s">
        <v>19</v>
      </c>
      <c r="K29" s="23">
        <f>+ROUND(K21*K23*$B$187/(LOOKUP(K22,$A$153:$A$187,$B$153:$B$187)),0)</f>
        <v>6034351153</v>
      </c>
      <c r="L29" s="26">
        <f>+ROUND(K29/$B$187,2)</f>
        <v>6874.38</v>
      </c>
      <c r="N29" s="22" t="s">
        <v>717</v>
      </c>
      <c r="O29" s="23">
        <f>+ROUND(O21*O23*$B$187/(LOOKUP(O22,$A$153:$A$187,$B$153:$B$187)),0)</f>
        <v>4811066222</v>
      </c>
      <c r="P29" s="26">
        <f>+ROUND(O29/$B$187,2)</f>
        <v>5480.8</v>
      </c>
      <c r="R29" s="24"/>
    </row>
    <row r="30" spans="1:18" x14ac:dyDescent="0.25">
      <c r="D30" s="194"/>
    </row>
    <row r="31" spans="1:18" x14ac:dyDescent="0.25">
      <c r="A31" s="164" t="s">
        <v>26</v>
      </c>
      <c r="B31" s="11"/>
      <c r="D31" s="194"/>
      <c r="F31" s="27"/>
      <c r="G31" s="165" t="s">
        <v>26</v>
      </c>
      <c r="H31" s="166"/>
      <c r="I31" s="167"/>
      <c r="J31" s="168"/>
      <c r="K31" s="165" t="s">
        <v>26</v>
      </c>
      <c r="L31" s="166"/>
      <c r="M31" s="167"/>
      <c r="N31" s="168"/>
      <c r="O31" s="165" t="s">
        <v>26</v>
      </c>
      <c r="P31" s="166"/>
      <c r="Q31" s="167"/>
      <c r="R31" s="24"/>
    </row>
    <row r="32" spans="1:18" x14ac:dyDescent="0.25">
      <c r="A32" s="12"/>
      <c r="B32" s="13"/>
      <c r="D32" s="194"/>
      <c r="F32" s="25"/>
      <c r="G32" s="24"/>
      <c r="H32" s="19"/>
      <c r="J32" s="25"/>
      <c r="K32" s="24"/>
      <c r="L32" s="19"/>
      <c r="N32" s="25"/>
      <c r="O32" s="24"/>
      <c r="P32" s="19"/>
      <c r="R32" s="24"/>
    </row>
    <row r="33" spans="1:18" ht="15" customHeight="1" x14ac:dyDescent="0.25">
      <c r="A33" s="12" t="s">
        <v>22</v>
      </c>
      <c r="B33" s="13"/>
      <c r="F33" s="14" t="s">
        <v>23</v>
      </c>
      <c r="G33" s="189">
        <v>3103325791</v>
      </c>
      <c r="H33" s="16" t="s">
        <v>15</v>
      </c>
      <c r="J33" s="14" t="s">
        <v>23</v>
      </c>
      <c r="K33" s="189">
        <v>284277718</v>
      </c>
      <c r="L33" s="16" t="s">
        <v>15</v>
      </c>
      <c r="N33" s="14" t="s">
        <v>23</v>
      </c>
      <c r="O33" s="15">
        <v>3198357691.6300001</v>
      </c>
      <c r="P33" s="16" t="s">
        <v>15</v>
      </c>
      <c r="R33" s="3"/>
    </row>
    <row r="34" spans="1:18" ht="15" customHeight="1" x14ac:dyDescent="0.25">
      <c r="A34" s="12" t="s">
        <v>24</v>
      </c>
      <c r="B34" s="13"/>
      <c r="F34" s="25"/>
      <c r="G34" s="24">
        <v>2015</v>
      </c>
      <c r="H34" s="482" t="s">
        <v>828</v>
      </c>
      <c r="J34" s="25"/>
      <c r="K34" s="24">
        <v>2018</v>
      </c>
      <c r="L34" s="482" t="s">
        <v>883</v>
      </c>
      <c r="N34" s="25"/>
      <c r="O34" s="24">
        <v>2016</v>
      </c>
      <c r="P34" s="482" t="s">
        <v>870</v>
      </c>
      <c r="R34" s="440"/>
    </row>
    <row r="35" spans="1:18" x14ac:dyDescent="0.25">
      <c r="A35" s="17" t="s">
        <v>25</v>
      </c>
      <c r="B35" s="13"/>
      <c r="F35" s="50">
        <v>0.5</v>
      </c>
      <c r="G35" s="45">
        <v>0.5</v>
      </c>
      <c r="H35" s="482"/>
      <c r="J35" s="50">
        <v>1</v>
      </c>
      <c r="K35" s="18">
        <v>1</v>
      </c>
      <c r="L35" s="482"/>
      <c r="N35" s="188">
        <v>0.5</v>
      </c>
      <c r="O35" s="187">
        <v>0.5</v>
      </c>
      <c r="P35" s="482"/>
      <c r="R35" s="440"/>
    </row>
    <row r="36" spans="1:18" ht="20.100000000000001" customHeight="1" x14ac:dyDescent="0.25">
      <c r="A36" s="446"/>
      <c r="B36" s="447"/>
      <c r="F36" s="25"/>
      <c r="G36" s="18" t="s">
        <v>922</v>
      </c>
      <c r="H36" s="482"/>
      <c r="J36" s="25"/>
      <c r="K36" s="18"/>
      <c r="L36" s="482"/>
      <c r="N36" s="25"/>
      <c r="O36" s="445"/>
      <c r="P36" s="482"/>
      <c r="R36" s="440"/>
    </row>
    <row r="37" spans="1:18" ht="20.100000000000001" customHeight="1" x14ac:dyDescent="0.25">
      <c r="A37" s="446"/>
      <c r="B37" s="447"/>
      <c r="F37" s="25"/>
      <c r="G37" s="18"/>
      <c r="H37" s="482"/>
      <c r="J37" s="25"/>
      <c r="K37" s="18"/>
      <c r="L37" s="482"/>
      <c r="N37" s="25"/>
      <c r="O37" s="445"/>
      <c r="P37" s="482"/>
      <c r="R37" s="440"/>
    </row>
    <row r="38" spans="1:18" ht="20.100000000000001" customHeight="1" x14ac:dyDescent="0.25">
      <c r="A38" s="446"/>
      <c r="B38" s="447"/>
      <c r="F38" s="25"/>
      <c r="G38" s="18"/>
      <c r="H38" s="482"/>
      <c r="J38" s="25"/>
      <c r="K38" s="18"/>
      <c r="L38" s="482"/>
      <c r="N38" s="25"/>
      <c r="O38" s="445"/>
      <c r="P38" s="482"/>
      <c r="R38" s="440"/>
    </row>
    <row r="39" spans="1:18" ht="20.100000000000001" customHeight="1" x14ac:dyDescent="0.25">
      <c r="A39" s="446"/>
      <c r="B39" s="447"/>
      <c r="F39" s="25"/>
      <c r="G39" s="18"/>
      <c r="H39" s="482"/>
      <c r="J39" s="25"/>
      <c r="K39" s="18"/>
      <c r="L39" s="482"/>
      <c r="N39" s="25"/>
      <c r="O39" s="445"/>
      <c r="P39" s="482"/>
      <c r="R39" s="440"/>
    </row>
    <row r="40" spans="1:18" ht="20.100000000000001" customHeight="1" x14ac:dyDescent="0.25">
      <c r="A40" s="446"/>
      <c r="B40" s="447"/>
      <c r="F40" s="25"/>
      <c r="G40" s="18"/>
      <c r="H40" s="482"/>
      <c r="J40" s="25"/>
      <c r="K40" s="18"/>
      <c r="L40" s="482"/>
      <c r="N40" s="25"/>
      <c r="O40" s="445"/>
      <c r="P40" s="482"/>
      <c r="R40" s="440"/>
    </row>
    <row r="41" spans="1:18" x14ac:dyDescent="0.25">
      <c r="A41" s="20" t="s">
        <v>27</v>
      </c>
      <c r="B41" s="21"/>
      <c r="F41" s="22" t="s">
        <v>19</v>
      </c>
      <c r="G41" s="23">
        <f>+ROUND(G33*G35*$B$187/(LOOKUP(G34,$A$153:$A$187,$B$153:$B$187)),0)</f>
        <v>2113842391</v>
      </c>
      <c r="H41" s="26">
        <f>IFERROR(ROUND(G41/$B$187,2),"")</f>
        <v>2408.11</v>
      </c>
      <c r="J41" s="22" t="s">
        <v>54</v>
      </c>
      <c r="K41" s="23">
        <f>+ROUND(K33*K35*$B$187/(LOOKUP(K34,$A$153:$A$187,$B$153:$B$187)),0)</f>
        <v>319414258</v>
      </c>
      <c r="L41" s="26">
        <f>IFERROR(ROUND(K41/$B$187,2),"")</f>
        <v>363.88</v>
      </c>
      <c r="N41" s="22" t="s">
        <v>717</v>
      </c>
      <c r="O41" s="23">
        <f>+ROUND(O33*O35*$B$187/(LOOKUP(O34,$A$153:$A$187,$B$153:$B$187)),0)</f>
        <v>2036051699</v>
      </c>
      <c r="P41" s="26">
        <f>IFERROR(ROUND(O41/$B$187,2),"")</f>
        <v>2319.4899999999998</v>
      </c>
      <c r="R41" s="24"/>
    </row>
    <row r="43" spans="1:18" x14ac:dyDescent="0.25">
      <c r="A43" s="164" t="s">
        <v>71</v>
      </c>
      <c r="B43" s="11"/>
      <c r="F43" s="27"/>
      <c r="G43" s="165" t="s">
        <v>71</v>
      </c>
      <c r="H43" s="166"/>
      <c r="I43" s="167"/>
      <c r="J43" s="168"/>
      <c r="K43" s="165" t="s">
        <v>71</v>
      </c>
      <c r="L43" s="166"/>
      <c r="M43" s="167"/>
      <c r="N43" s="168"/>
      <c r="O43" s="165" t="s">
        <v>71</v>
      </c>
      <c r="P43" s="166"/>
      <c r="Q43" s="167"/>
      <c r="R43" s="24"/>
    </row>
    <row r="44" spans="1:18" x14ac:dyDescent="0.25">
      <c r="A44" s="12"/>
      <c r="B44" s="13"/>
      <c r="F44" s="25"/>
      <c r="G44" s="24"/>
      <c r="H44" s="19"/>
      <c r="J44" s="25"/>
      <c r="K44" s="24"/>
      <c r="L44" s="19"/>
      <c r="N44" s="25"/>
      <c r="O44" s="24"/>
      <c r="P44" s="19"/>
      <c r="R44" s="24"/>
    </row>
    <row r="45" spans="1:18" x14ac:dyDescent="0.25">
      <c r="A45" s="12" t="s">
        <v>22</v>
      </c>
      <c r="B45" s="13"/>
      <c r="F45" s="14" t="s">
        <v>23</v>
      </c>
      <c r="G45" s="15">
        <v>3612598721</v>
      </c>
      <c r="H45" s="16" t="s">
        <v>15</v>
      </c>
      <c r="J45" s="14" t="s">
        <v>23</v>
      </c>
      <c r="K45" s="15">
        <v>629998172</v>
      </c>
      <c r="L45" s="460" t="s">
        <v>847</v>
      </c>
      <c r="N45" s="14" t="s">
        <v>23</v>
      </c>
      <c r="O45" s="15">
        <v>1867980787</v>
      </c>
      <c r="P45" s="460" t="s">
        <v>847</v>
      </c>
      <c r="R45" s="3"/>
    </row>
    <row r="46" spans="1:18" ht="15" customHeight="1" x14ac:dyDescent="0.25">
      <c r="A46" s="12" t="s">
        <v>24</v>
      </c>
      <c r="B46" s="13"/>
      <c r="F46" s="25"/>
      <c r="G46" s="24">
        <v>2010</v>
      </c>
      <c r="H46" s="482" t="s">
        <v>829</v>
      </c>
      <c r="J46" s="25"/>
      <c r="K46" s="24">
        <v>2015</v>
      </c>
      <c r="L46" s="482" t="s">
        <v>882</v>
      </c>
      <c r="N46" s="25"/>
      <c r="O46" s="24">
        <v>2019</v>
      </c>
      <c r="P46" s="482" t="s">
        <v>871</v>
      </c>
      <c r="R46" s="440"/>
    </row>
    <row r="47" spans="1:18" x14ac:dyDescent="0.25">
      <c r="A47" s="17" t="s">
        <v>25</v>
      </c>
      <c r="B47" s="13"/>
      <c r="F47" s="50">
        <v>0.5</v>
      </c>
      <c r="G47" s="18">
        <v>0.5</v>
      </c>
      <c r="H47" s="482"/>
      <c r="J47" s="50">
        <v>0.5</v>
      </c>
      <c r="K47" s="18">
        <v>0</v>
      </c>
      <c r="L47" s="482"/>
      <c r="N47" s="50">
        <v>0.95</v>
      </c>
      <c r="O47" s="18">
        <v>0</v>
      </c>
      <c r="P47" s="482"/>
      <c r="R47" s="440"/>
    </row>
    <row r="48" spans="1:18" x14ac:dyDescent="0.25">
      <c r="A48" s="17"/>
      <c r="B48" s="13"/>
      <c r="F48" s="25"/>
      <c r="G48" s="18"/>
      <c r="H48" s="482"/>
      <c r="J48" s="25"/>
      <c r="K48" s="18" t="s">
        <v>932</v>
      </c>
      <c r="L48" s="482"/>
      <c r="N48" s="25"/>
      <c r="O48" s="18" t="s">
        <v>825</v>
      </c>
      <c r="P48" s="482"/>
      <c r="R48" s="440"/>
    </row>
    <row r="49" spans="1:18" ht="15" customHeight="1" x14ac:dyDescent="0.25">
      <c r="A49" s="17"/>
      <c r="B49" s="13"/>
      <c r="F49" s="25"/>
      <c r="G49" s="18"/>
      <c r="H49" s="482"/>
      <c r="J49" s="25"/>
      <c r="K49" s="18"/>
      <c r="L49" s="482"/>
      <c r="N49" s="25"/>
      <c r="O49" s="448"/>
      <c r="P49" s="482"/>
      <c r="R49" s="440"/>
    </row>
    <row r="50" spans="1:18" x14ac:dyDescent="0.25">
      <c r="A50" s="17"/>
      <c r="B50" s="13"/>
      <c r="F50" s="25"/>
      <c r="G50" s="18"/>
      <c r="H50" s="482"/>
      <c r="J50" s="25"/>
      <c r="K50" s="18"/>
      <c r="L50" s="482"/>
      <c r="N50" s="25"/>
      <c r="O50" s="448"/>
      <c r="P50" s="482"/>
      <c r="R50" s="440"/>
    </row>
    <row r="51" spans="1:18" x14ac:dyDescent="0.25">
      <c r="A51" s="17"/>
      <c r="B51" s="13"/>
      <c r="F51" s="25"/>
      <c r="G51" s="18"/>
      <c r="H51" s="482"/>
      <c r="J51" s="25"/>
      <c r="K51" s="18"/>
      <c r="L51" s="482"/>
      <c r="N51" s="25"/>
      <c r="O51" s="448"/>
      <c r="P51" s="482"/>
      <c r="R51" s="440"/>
    </row>
    <row r="52" spans="1:18" x14ac:dyDescent="0.25">
      <c r="A52" s="12"/>
      <c r="B52" s="13"/>
      <c r="F52" s="25"/>
      <c r="G52" s="18"/>
      <c r="H52" s="482"/>
      <c r="J52" s="25"/>
      <c r="K52" s="18"/>
      <c r="L52" s="482"/>
      <c r="N52" s="25"/>
      <c r="O52" s="448"/>
      <c r="P52" s="482"/>
      <c r="R52" s="440"/>
    </row>
    <row r="53" spans="1:18" x14ac:dyDescent="0.25">
      <c r="A53" s="20" t="s">
        <v>27</v>
      </c>
      <c r="B53" s="21"/>
      <c r="F53" s="22" t="s">
        <v>19</v>
      </c>
      <c r="G53" s="23">
        <f>+ROUND(G45*G47*$B$187/(LOOKUP(G46,$A$153:$A$187,$B$153:$B$187)),0)</f>
        <v>3078786403</v>
      </c>
      <c r="H53" s="26">
        <f>IFERROR(ROUND(G53/$B$187,2),"")</f>
        <v>3507.38</v>
      </c>
      <c r="J53" s="22" t="s">
        <v>54</v>
      </c>
      <c r="K53" s="23">
        <f>+ROUND(K45*K47*$B$187/(LOOKUP(K46,$A$153:$A$187,$B$153:$B$187)),0)</f>
        <v>0</v>
      </c>
      <c r="L53" s="26">
        <f>IFERROR(ROUND(K53/$B$187,2),"")</f>
        <v>0</v>
      </c>
      <c r="N53" s="22" t="s">
        <v>19</v>
      </c>
      <c r="O53" s="23">
        <f>+ROUND(O45*O47*$B$187/(LOOKUP(O46,$A$153:$A$187,$B$153:$B$187)),0)</f>
        <v>0</v>
      </c>
      <c r="P53" s="26">
        <f>IFERROR(ROUND(O53/$B$187,2),"")</f>
        <v>0</v>
      </c>
      <c r="R53" s="24"/>
    </row>
    <row r="55" spans="1:18" s="346" customFormat="1" x14ac:dyDescent="0.25">
      <c r="A55" s="164" t="s">
        <v>73</v>
      </c>
      <c r="B55" s="341"/>
      <c r="C55" s="342"/>
      <c r="D55" s="342"/>
      <c r="E55" s="342"/>
      <c r="F55" s="343"/>
      <c r="G55" s="344" t="s">
        <v>73</v>
      </c>
      <c r="H55" s="345"/>
      <c r="J55" s="343"/>
      <c r="K55" s="344" t="s">
        <v>73</v>
      </c>
      <c r="L55" s="345"/>
      <c r="N55" s="343"/>
      <c r="O55" s="344" t="s">
        <v>73</v>
      </c>
      <c r="P55" s="345"/>
      <c r="R55" s="347"/>
    </row>
    <row r="56" spans="1:18" x14ac:dyDescent="0.25">
      <c r="A56" s="12"/>
      <c r="B56" s="13"/>
      <c r="F56" s="25"/>
      <c r="G56" s="24"/>
      <c r="H56" s="19"/>
      <c r="J56" s="25"/>
      <c r="K56" s="24"/>
      <c r="L56" s="19"/>
      <c r="N56" s="25"/>
      <c r="O56" s="24"/>
      <c r="P56" s="19"/>
      <c r="R56" s="24"/>
    </row>
    <row r="57" spans="1:18" x14ac:dyDescent="0.25">
      <c r="A57" s="12" t="s">
        <v>22</v>
      </c>
      <c r="B57" s="13"/>
      <c r="F57" s="14" t="s">
        <v>23</v>
      </c>
      <c r="G57" s="15">
        <v>3199765527</v>
      </c>
      <c r="H57" s="16" t="s">
        <v>15</v>
      </c>
      <c r="J57" s="14" t="s">
        <v>23</v>
      </c>
      <c r="K57" s="15">
        <v>532772007</v>
      </c>
      <c r="L57" s="16" t="s">
        <v>15</v>
      </c>
      <c r="N57" s="14" t="s">
        <v>23</v>
      </c>
      <c r="O57" s="15">
        <v>458931866</v>
      </c>
      <c r="P57" s="16" t="s">
        <v>15</v>
      </c>
      <c r="R57" s="3"/>
    </row>
    <row r="58" spans="1:18" ht="15" customHeight="1" x14ac:dyDescent="0.25">
      <c r="A58" s="12" t="s">
        <v>24</v>
      </c>
      <c r="B58" s="13"/>
      <c r="F58" s="25"/>
      <c r="G58" s="24">
        <v>2018</v>
      </c>
      <c r="H58" s="482" t="s">
        <v>830</v>
      </c>
      <c r="J58" s="25"/>
      <c r="K58" s="24">
        <v>2016</v>
      </c>
      <c r="L58" s="482" t="s">
        <v>828</v>
      </c>
      <c r="N58" s="25"/>
      <c r="O58" s="24">
        <v>2015</v>
      </c>
      <c r="P58" s="482" t="s">
        <v>872</v>
      </c>
      <c r="R58" s="440"/>
    </row>
    <row r="59" spans="1:18" ht="15" customHeight="1" x14ac:dyDescent="0.25">
      <c r="A59" s="17" t="s">
        <v>25</v>
      </c>
      <c r="B59" s="13"/>
      <c r="F59" s="50">
        <v>0.9</v>
      </c>
      <c r="G59" s="18">
        <v>0.9</v>
      </c>
      <c r="H59" s="482"/>
      <c r="J59" s="50">
        <v>0.5</v>
      </c>
      <c r="K59" s="18">
        <v>0.5</v>
      </c>
      <c r="L59" s="482"/>
      <c r="N59" s="50">
        <v>1</v>
      </c>
      <c r="O59" s="18">
        <v>1</v>
      </c>
      <c r="P59" s="482"/>
      <c r="R59" s="440"/>
    </row>
    <row r="60" spans="1:18" ht="15" customHeight="1" x14ac:dyDescent="0.25">
      <c r="A60" s="17"/>
      <c r="B60" s="13"/>
      <c r="F60" s="25"/>
      <c r="G60" s="18"/>
      <c r="H60" s="482"/>
      <c r="J60" s="25"/>
      <c r="K60" s="18"/>
      <c r="L60" s="482"/>
      <c r="N60" s="25"/>
      <c r="O60" s="448"/>
      <c r="P60" s="482"/>
      <c r="R60" s="440"/>
    </row>
    <row r="61" spans="1:18" ht="15" customHeight="1" x14ac:dyDescent="0.25">
      <c r="A61" s="17"/>
      <c r="B61" s="13"/>
      <c r="F61" s="25"/>
      <c r="G61" s="18"/>
      <c r="H61" s="482"/>
      <c r="J61" s="25"/>
      <c r="K61" s="18"/>
      <c r="L61" s="482"/>
      <c r="N61" s="25"/>
      <c r="O61" s="448"/>
      <c r="P61" s="482"/>
      <c r="R61" s="440"/>
    </row>
    <row r="62" spans="1:18" ht="15" customHeight="1" x14ac:dyDescent="0.25">
      <c r="A62" s="17"/>
      <c r="B62" s="13"/>
      <c r="F62" s="25"/>
      <c r="G62" s="18"/>
      <c r="H62" s="482"/>
      <c r="J62" s="25"/>
      <c r="K62" s="18"/>
      <c r="L62" s="482"/>
      <c r="N62" s="25"/>
      <c r="O62" s="448"/>
      <c r="P62" s="482"/>
      <c r="R62" s="440"/>
    </row>
    <row r="63" spans="1:18" ht="15" customHeight="1" x14ac:dyDescent="0.25">
      <c r="A63" s="17"/>
      <c r="B63" s="13"/>
      <c r="F63" s="25"/>
      <c r="G63" s="18"/>
      <c r="H63" s="482"/>
      <c r="J63" s="25"/>
      <c r="K63" s="18"/>
      <c r="L63" s="482"/>
      <c r="N63" s="25"/>
      <c r="O63" s="448"/>
      <c r="P63" s="482"/>
      <c r="R63" s="440"/>
    </row>
    <row r="64" spans="1:18" ht="15" customHeight="1" x14ac:dyDescent="0.25">
      <c r="A64" s="12"/>
      <c r="B64" s="13"/>
      <c r="F64" s="25"/>
      <c r="G64" s="18"/>
      <c r="H64" s="482"/>
      <c r="J64" s="25"/>
      <c r="K64" s="18"/>
      <c r="L64" s="482"/>
      <c r="N64" s="25"/>
      <c r="O64" s="448"/>
      <c r="P64" s="482"/>
      <c r="R64" s="440"/>
    </row>
    <row r="65" spans="1:18" x14ac:dyDescent="0.25">
      <c r="A65" s="20" t="s">
        <v>27</v>
      </c>
      <c r="B65" s="21"/>
      <c r="F65" s="22" t="s">
        <v>54</v>
      </c>
      <c r="G65" s="23">
        <f>+ROUND(G57*G59*$B$187/(LOOKUP(G58,$A$153:$A$187,$B$153:$B$187)),0)</f>
        <v>3235729007</v>
      </c>
      <c r="H65" s="26">
        <f>IFERROR(ROUND(G65/$B$187,2),"")</f>
        <v>3686.17</v>
      </c>
      <c r="J65" s="22" t="s">
        <v>54</v>
      </c>
      <c r="K65" s="23">
        <f>+ROUND(K57*K59*$B$187/(LOOKUP(K58,$A$153:$A$187,$B$153:$B$187)),0)</f>
        <v>339158861</v>
      </c>
      <c r="L65" s="26">
        <f>IFERROR(ROUND(K65/$B$187,2),"")</f>
        <v>386.37</v>
      </c>
      <c r="N65" s="22" t="s">
        <v>19</v>
      </c>
      <c r="O65" s="23">
        <f>+ROUND(O57*O59*$B$187/(LOOKUP(O58,$A$153:$A$187,$B$153:$B$187)),0)</f>
        <v>625206439</v>
      </c>
      <c r="P65" s="26">
        <f>IFERROR(ROUND(O65/$B$187,2),"")</f>
        <v>712.24</v>
      </c>
      <c r="R65" s="24"/>
    </row>
    <row r="67" spans="1:18" s="346" customFormat="1" x14ac:dyDescent="0.25">
      <c r="A67" s="164" t="s">
        <v>79</v>
      </c>
      <c r="B67" s="341"/>
      <c r="C67" s="342"/>
      <c r="D67" s="342"/>
      <c r="E67" s="342"/>
      <c r="F67" s="343"/>
      <c r="G67" s="344" t="s">
        <v>79</v>
      </c>
      <c r="H67" s="345"/>
      <c r="J67" s="343"/>
      <c r="K67" s="344" t="s">
        <v>79</v>
      </c>
      <c r="L67" s="345"/>
      <c r="N67" s="343"/>
      <c r="O67" s="344" t="s">
        <v>79</v>
      </c>
      <c r="P67" s="345"/>
      <c r="R67" s="347"/>
    </row>
    <row r="68" spans="1:18" x14ac:dyDescent="0.25">
      <c r="A68" s="12"/>
      <c r="B68" s="13"/>
      <c r="F68" s="25"/>
      <c r="G68" s="24"/>
      <c r="H68" s="19"/>
      <c r="J68" s="25"/>
      <c r="K68" s="24"/>
      <c r="L68" s="19"/>
      <c r="N68" s="25"/>
      <c r="O68" s="24"/>
      <c r="P68" s="19"/>
      <c r="R68" s="24"/>
    </row>
    <row r="69" spans="1:18" x14ac:dyDescent="0.25">
      <c r="A69" s="12" t="s">
        <v>22</v>
      </c>
      <c r="B69" s="13"/>
      <c r="F69" s="14" t="s">
        <v>23</v>
      </c>
      <c r="G69" s="15">
        <v>4640297364</v>
      </c>
      <c r="H69" s="16" t="s">
        <v>15</v>
      </c>
      <c r="J69" s="14" t="s">
        <v>23</v>
      </c>
      <c r="K69" s="15">
        <v>0</v>
      </c>
      <c r="L69" s="16"/>
      <c r="N69" s="14" t="s">
        <v>23</v>
      </c>
      <c r="O69" s="15">
        <v>5664878571.3999996</v>
      </c>
      <c r="P69" s="16" t="s">
        <v>15</v>
      </c>
      <c r="R69" s="3"/>
    </row>
    <row r="70" spans="1:18" ht="15" customHeight="1" x14ac:dyDescent="0.25">
      <c r="A70" s="12" t="s">
        <v>24</v>
      </c>
      <c r="B70" s="13"/>
      <c r="F70" s="25"/>
      <c r="G70" s="24">
        <v>2019</v>
      </c>
      <c r="H70" s="482" t="s">
        <v>827</v>
      </c>
      <c r="J70" s="25"/>
      <c r="K70" s="24">
        <v>2000</v>
      </c>
      <c r="L70" s="482" t="s">
        <v>74</v>
      </c>
      <c r="N70" s="25"/>
      <c r="O70" s="24">
        <v>2018</v>
      </c>
      <c r="P70" s="482" t="s">
        <v>873</v>
      </c>
      <c r="R70" s="440"/>
    </row>
    <row r="71" spans="1:18" ht="15" customHeight="1" x14ac:dyDescent="0.25">
      <c r="A71" s="17" t="s">
        <v>25</v>
      </c>
      <c r="B71" s="13"/>
      <c r="F71" s="50">
        <v>0.99</v>
      </c>
      <c r="G71" s="18">
        <v>0.99</v>
      </c>
      <c r="H71" s="482"/>
      <c r="J71" s="50"/>
      <c r="K71" s="18">
        <v>0</v>
      </c>
      <c r="L71" s="482"/>
      <c r="N71" s="50">
        <v>1</v>
      </c>
      <c r="O71" s="18">
        <v>1</v>
      </c>
      <c r="P71" s="482"/>
      <c r="R71" s="440"/>
    </row>
    <row r="72" spans="1:18" ht="15" customHeight="1" x14ac:dyDescent="0.25">
      <c r="A72" s="17"/>
      <c r="B72" s="13"/>
      <c r="F72" s="25"/>
      <c r="G72" s="18" t="s">
        <v>922</v>
      </c>
      <c r="H72" s="482"/>
      <c r="J72" s="25"/>
      <c r="K72" s="18"/>
      <c r="L72" s="482"/>
      <c r="N72" s="25"/>
      <c r="O72" s="18"/>
      <c r="P72" s="482"/>
      <c r="R72" s="440"/>
    </row>
    <row r="73" spans="1:18" ht="15" customHeight="1" x14ac:dyDescent="0.25">
      <c r="A73" s="17"/>
      <c r="B73" s="13"/>
      <c r="F73" s="25"/>
      <c r="G73" s="18"/>
      <c r="H73" s="482"/>
      <c r="J73" s="25"/>
      <c r="K73" s="18"/>
      <c r="L73" s="482"/>
      <c r="N73" s="25"/>
      <c r="O73" s="18"/>
      <c r="P73" s="482"/>
      <c r="R73" s="440"/>
    </row>
    <row r="74" spans="1:18" ht="15" customHeight="1" x14ac:dyDescent="0.25">
      <c r="A74" s="17"/>
      <c r="B74" s="13"/>
      <c r="F74" s="25"/>
      <c r="G74" s="18"/>
      <c r="H74" s="482"/>
      <c r="J74" s="25"/>
      <c r="K74" s="18"/>
      <c r="L74" s="482"/>
      <c r="N74" s="25"/>
      <c r="O74" s="18"/>
      <c r="P74" s="482"/>
      <c r="R74" s="440"/>
    </row>
    <row r="75" spans="1:18" ht="15" customHeight="1" x14ac:dyDescent="0.25">
      <c r="A75" s="17"/>
      <c r="B75" s="13"/>
      <c r="F75" s="25"/>
      <c r="G75" s="18"/>
      <c r="H75" s="482"/>
      <c r="J75" s="25"/>
      <c r="K75" s="18"/>
      <c r="L75" s="482"/>
      <c r="N75" s="25"/>
      <c r="O75" s="18"/>
      <c r="P75" s="482"/>
      <c r="R75" s="440"/>
    </row>
    <row r="76" spans="1:18" ht="15" customHeight="1" x14ac:dyDescent="0.25">
      <c r="A76" s="12"/>
      <c r="B76" s="13"/>
      <c r="F76" s="25"/>
      <c r="G76" s="18"/>
      <c r="H76" s="482"/>
      <c r="J76" s="25"/>
      <c r="K76" s="18"/>
      <c r="L76" s="482"/>
      <c r="N76" s="25"/>
      <c r="O76" s="18"/>
      <c r="P76" s="482"/>
      <c r="R76" s="440"/>
    </row>
    <row r="77" spans="1:18" x14ac:dyDescent="0.25">
      <c r="A77" s="20" t="s">
        <v>27</v>
      </c>
      <c r="B77" s="21"/>
      <c r="F77" s="22" t="s">
        <v>54</v>
      </c>
      <c r="G77" s="23">
        <f>+ROUND(G69*G71*$B$187/(LOOKUP(G70,$A$153:$A$187,$B$153:$B$187)),0)</f>
        <v>4869528276</v>
      </c>
      <c r="H77" s="26">
        <f>IFERROR(ROUND(G77/$B$187,2),"")</f>
        <v>5547.4</v>
      </c>
      <c r="J77" s="22"/>
      <c r="K77" s="23">
        <f>+ROUND(K69*K71*$B$187/(LOOKUP(K70,$A$153:$A$187,$B$153:$B$187)),0)</f>
        <v>0</v>
      </c>
      <c r="L77" s="26">
        <f>IFERROR(ROUND(K77/$B$187,2),"")</f>
        <v>0</v>
      </c>
      <c r="N77" s="22" t="s">
        <v>54</v>
      </c>
      <c r="O77" s="23">
        <f>+ROUND(O69*O71*$B$187/(LOOKUP(O70,$A$153:$A$187,$B$153:$B$187)),0)</f>
        <v>6365053856</v>
      </c>
      <c r="P77" s="26">
        <f>IFERROR(ROUND(O77/$B$187,2),"")</f>
        <v>7251.12</v>
      </c>
      <c r="R77" s="24"/>
    </row>
    <row r="79" spans="1:18" s="346" customFormat="1" x14ac:dyDescent="0.25">
      <c r="A79" s="164" t="s">
        <v>80</v>
      </c>
      <c r="B79" s="341"/>
      <c r="C79" s="342"/>
      <c r="D79" s="342"/>
      <c r="E79" s="342"/>
      <c r="F79" s="343"/>
      <c r="G79" s="344" t="s">
        <v>80</v>
      </c>
      <c r="H79" s="345"/>
      <c r="J79" s="343"/>
      <c r="K79" s="344" t="s">
        <v>80</v>
      </c>
      <c r="L79" s="345"/>
      <c r="N79" s="343"/>
      <c r="O79" s="344" t="s">
        <v>80</v>
      </c>
      <c r="P79" s="345"/>
      <c r="R79" s="347"/>
    </row>
    <row r="80" spans="1:18" x14ac:dyDescent="0.25">
      <c r="A80" s="12"/>
      <c r="B80" s="13"/>
      <c r="F80" s="25"/>
      <c r="G80" s="24"/>
      <c r="H80" s="19"/>
      <c r="J80" s="25"/>
      <c r="K80" s="24"/>
      <c r="L80" s="19"/>
      <c r="N80" s="25"/>
      <c r="O80" s="24"/>
      <c r="P80" s="19"/>
      <c r="R80" s="24"/>
    </row>
    <row r="81" spans="1:18" x14ac:dyDescent="0.25">
      <c r="A81" s="12" t="s">
        <v>22</v>
      </c>
      <c r="B81" s="13"/>
      <c r="F81" s="14" t="s">
        <v>23</v>
      </c>
      <c r="G81" s="15">
        <v>0</v>
      </c>
      <c r="H81" s="16"/>
      <c r="J81" s="14" t="s">
        <v>23</v>
      </c>
      <c r="K81" s="15">
        <v>0</v>
      </c>
      <c r="L81" s="16"/>
      <c r="N81" s="14" t="s">
        <v>23</v>
      </c>
      <c r="O81" s="15">
        <v>1188398424</v>
      </c>
      <c r="P81" s="16" t="s">
        <v>15</v>
      </c>
      <c r="R81" s="3"/>
    </row>
    <row r="82" spans="1:18" ht="15" customHeight="1" x14ac:dyDescent="0.25">
      <c r="A82" s="12" t="s">
        <v>24</v>
      </c>
      <c r="B82" s="13"/>
      <c r="F82" s="25"/>
      <c r="G82" s="24">
        <v>2000</v>
      </c>
      <c r="H82" s="482" t="s">
        <v>74</v>
      </c>
      <c r="J82" s="25"/>
      <c r="K82" s="24">
        <v>2000</v>
      </c>
      <c r="L82" s="482" t="s">
        <v>74</v>
      </c>
      <c r="N82" s="25"/>
      <c r="O82" s="24">
        <v>2012</v>
      </c>
      <c r="P82" s="482" t="s">
        <v>874</v>
      </c>
      <c r="R82" s="500"/>
    </row>
    <row r="83" spans="1:18" ht="15" customHeight="1" x14ac:dyDescent="0.25">
      <c r="A83" s="17" t="s">
        <v>25</v>
      </c>
      <c r="B83" s="13"/>
      <c r="F83" s="50"/>
      <c r="G83" s="18">
        <v>0</v>
      </c>
      <c r="H83" s="482"/>
      <c r="J83" s="50"/>
      <c r="K83" s="18">
        <v>0</v>
      </c>
      <c r="L83" s="482"/>
      <c r="N83" s="50">
        <v>1</v>
      </c>
      <c r="O83" s="18">
        <v>1</v>
      </c>
      <c r="P83" s="482"/>
      <c r="R83" s="500"/>
    </row>
    <row r="84" spans="1:18" ht="15" customHeight="1" x14ac:dyDescent="0.25">
      <c r="A84" s="17"/>
      <c r="B84" s="13"/>
      <c r="F84" s="25"/>
      <c r="G84" s="18"/>
      <c r="H84" s="482"/>
      <c r="J84" s="25"/>
      <c r="K84" s="18"/>
      <c r="L84" s="482"/>
      <c r="N84" s="25"/>
      <c r="O84" s="18"/>
      <c r="P84" s="482"/>
      <c r="R84" s="500"/>
    </row>
    <row r="85" spans="1:18" ht="15" customHeight="1" x14ac:dyDescent="0.25">
      <c r="A85" s="17"/>
      <c r="B85" s="13"/>
      <c r="F85" s="25"/>
      <c r="G85" s="18"/>
      <c r="H85" s="482"/>
      <c r="J85" s="25"/>
      <c r="K85" s="18"/>
      <c r="L85" s="482"/>
      <c r="N85" s="25"/>
      <c r="O85" s="18"/>
      <c r="P85" s="482"/>
      <c r="R85" s="500"/>
    </row>
    <row r="86" spans="1:18" ht="15" customHeight="1" x14ac:dyDescent="0.25">
      <c r="A86" s="17"/>
      <c r="B86" s="13"/>
      <c r="F86" s="25"/>
      <c r="G86" s="18"/>
      <c r="H86" s="482"/>
      <c r="J86" s="25"/>
      <c r="K86" s="18"/>
      <c r="L86" s="482"/>
      <c r="N86" s="25"/>
      <c r="O86" s="18"/>
      <c r="P86" s="482"/>
      <c r="R86" s="500"/>
    </row>
    <row r="87" spans="1:18" ht="15" customHeight="1" x14ac:dyDescent="0.25">
      <c r="A87" s="17"/>
      <c r="B87" s="13"/>
      <c r="F87" s="25"/>
      <c r="G87" s="18"/>
      <c r="H87" s="482"/>
      <c r="J87" s="25"/>
      <c r="K87" s="18"/>
      <c r="L87" s="482"/>
      <c r="N87" s="25"/>
      <c r="O87" s="18"/>
      <c r="P87" s="482"/>
      <c r="R87" s="500"/>
    </row>
    <row r="88" spans="1:18" ht="15" customHeight="1" x14ac:dyDescent="0.25">
      <c r="A88" s="12"/>
      <c r="B88" s="13"/>
      <c r="F88" s="25"/>
      <c r="G88" s="18"/>
      <c r="H88" s="482"/>
      <c r="J88" s="25"/>
      <c r="K88" s="18"/>
      <c r="L88" s="482"/>
      <c r="N88" s="25"/>
      <c r="O88" s="18"/>
      <c r="P88" s="482"/>
      <c r="R88" s="500"/>
    </row>
    <row r="89" spans="1:18" x14ac:dyDescent="0.25">
      <c r="A89" s="20" t="s">
        <v>27</v>
      </c>
      <c r="B89" s="21"/>
      <c r="F89" s="22"/>
      <c r="G89" s="23">
        <f>+ROUND(G81*G83*$B$187/(LOOKUP(G82,$A$153:$A$187,$B$153:$B$187)),0)</f>
        <v>0</v>
      </c>
      <c r="H89" s="26">
        <f>IFERROR(ROUND(G89/$B$187,2),"")</f>
        <v>0</v>
      </c>
      <c r="J89" s="22"/>
      <c r="K89" s="23">
        <f>+ROUND(K81*K83*$B$187/(LOOKUP(K82,$A$153:$A$187,$B$153:$B$187)),0)</f>
        <v>0</v>
      </c>
      <c r="L89" s="26">
        <f>IFERROR(ROUND(K89/$B$187,2),"")</f>
        <v>0</v>
      </c>
      <c r="N89" s="22" t="s">
        <v>54</v>
      </c>
      <c r="O89" s="23">
        <f>+ROUND(O81*O83*$B$187/(LOOKUP(O82,$A$153:$A$187,$B$153:$B$187)),0)</f>
        <v>1840797074</v>
      </c>
      <c r="P89" s="26">
        <f>IFERROR(ROUND(O89/$B$187,2),"")</f>
        <v>2097.0500000000002</v>
      </c>
      <c r="R89" s="24"/>
    </row>
    <row r="91" spans="1:18" s="346" customFormat="1" x14ac:dyDescent="0.25">
      <c r="A91" s="164" t="s">
        <v>884</v>
      </c>
      <c r="B91" s="341"/>
      <c r="C91" s="342"/>
      <c r="D91" s="342"/>
      <c r="E91" s="342"/>
      <c r="F91" s="343"/>
      <c r="G91" s="344" t="s">
        <v>884</v>
      </c>
      <c r="H91" s="345"/>
      <c r="J91" s="343"/>
      <c r="K91" s="344" t="s">
        <v>884</v>
      </c>
      <c r="L91" s="345"/>
      <c r="N91" s="343"/>
      <c r="O91" s="344" t="s">
        <v>884</v>
      </c>
      <c r="P91" s="345"/>
      <c r="R91" s="347"/>
    </row>
    <row r="92" spans="1:18" x14ac:dyDescent="0.25">
      <c r="A92" s="12"/>
      <c r="B92" s="13"/>
      <c r="F92" s="25"/>
      <c r="G92" s="24"/>
      <c r="H92" s="19"/>
      <c r="J92" s="25"/>
      <c r="K92" s="24"/>
      <c r="L92" s="19"/>
      <c r="N92" s="25"/>
      <c r="O92" s="24"/>
      <c r="P92" s="19"/>
      <c r="R92" s="24"/>
    </row>
    <row r="93" spans="1:18" x14ac:dyDescent="0.25">
      <c r="A93" s="12" t="s">
        <v>22</v>
      </c>
      <c r="B93" s="13"/>
      <c r="F93" s="14" t="s">
        <v>23</v>
      </c>
      <c r="G93" s="15">
        <v>0</v>
      </c>
      <c r="H93" s="16"/>
      <c r="J93" s="14" t="s">
        <v>23</v>
      </c>
      <c r="K93" s="15">
        <v>415575000</v>
      </c>
      <c r="L93" s="16" t="s">
        <v>15</v>
      </c>
      <c r="N93" s="14" t="s">
        <v>23</v>
      </c>
      <c r="O93" s="15">
        <v>0</v>
      </c>
      <c r="P93" s="16"/>
      <c r="R93" s="3"/>
    </row>
    <row r="94" spans="1:18" ht="15" customHeight="1" x14ac:dyDescent="0.25">
      <c r="A94" s="12" t="s">
        <v>24</v>
      </c>
      <c r="B94" s="13"/>
      <c r="F94" s="25"/>
      <c r="G94" s="24">
        <v>2000</v>
      </c>
      <c r="H94" s="482" t="s">
        <v>74</v>
      </c>
      <c r="J94" s="25"/>
      <c r="K94" s="24">
        <v>2015</v>
      </c>
      <c r="L94" s="482" t="s">
        <v>885</v>
      </c>
      <c r="N94" s="25"/>
      <c r="O94" s="24">
        <v>2000</v>
      </c>
      <c r="P94" s="482"/>
      <c r="R94" s="500"/>
    </row>
    <row r="95" spans="1:18" ht="15" customHeight="1" x14ac:dyDescent="0.25">
      <c r="A95" s="17" t="s">
        <v>25</v>
      </c>
      <c r="B95" s="13"/>
      <c r="F95" s="50"/>
      <c r="G95" s="18">
        <v>0</v>
      </c>
      <c r="H95" s="482"/>
      <c r="J95" s="50"/>
      <c r="K95" s="18">
        <v>1</v>
      </c>
      <c r="L95" s="482"/>
      <c r="N95" s="50"/>
      <c r="O95" s="18">
        <v>0</v>
      </c>
      <c r="P95" s="482"/>
      <c r="R95" s="500"/>
    </row>
    <row r="96" spans="1:18" ht="15" customHeight="1" x14ac:dyDescent="0.25">
      <c r="A96" s="446"/>
      <c r="B96" s="447"/>
      <c r="F96" s="25"/>
      <c r="G96" s="18"/>
      <c r="H96" s="482"/>
      <c r="J96" s="25"/>
      <c r="K96" s="18" t="s">
        <v>889</v>
      </c>
      <c r="L96" s="482"/>
      <c r="N96" s="25"/>
      <c r="O96" s="18"/>
      <c r="P96" s="482"/>
      <c r="R96" s="500"/>
    </row>
    <row r="97" spans="1:18" ht="15" customHeight="1" x14ac:dyDescent="0.25">
      <c r="A97" s="446"/>
      <c r="B97" s="447"/>
      <c r="F97" s="25"/>
      <c r="G97" s="18"/>
      <c r="H97" s="482"/>
      <c r="J97" s="25"/>
      <c r="K97" s="18"/>
      <c r="L97" s="482"/>
      <c r="N97" s="25"/>
      <c r="O97" s="18"/>
      <c r="P97" s="482"/>
      <c r="R97" s="500"/>
    </row>
    <row r="98" spans="1:18" ht="15" customHeight="1" x14ac:dyDescent="0.25">
      <c r="A98" s="446"/>
      <c r="B98" s="447"/>
      <c r="F98" s="25"/>
      <c r="G98" s="18"/>
      <c r="H98" s="482"/>
      <c r="J98" s="25"/>
      <c r="K98" s="18"/>
      <c r="L98" s="482"/>
      <c r="N98" s="25"/>
      <c r="O98" s="18"/>
      <c r="P98" s="482"/>
      <c r="R98" s="500"/>
    </row>
    <row r="99" spans="1:18" ht="15" customHeight="1" x14ac:dyDescent="0.25">
      <c r="A99" s="446"/>
      <c r="B99" s="447"/>
      <c r="F99" s="25"/>
      <c r="G99" s="18"/>
      <c r="H99" s="482"/>
      <c r="J99" s="25"/>
      <c r="K99" s="18"/>
      <c r="L99" s="482"/>
      <c r="N99" s="25"/>
      <c r="O99" s="18"/>
      <c r="P99" s="482"/>
      <c r="R99" s="500"/>
    </row>
    <row r="100" spans="1:18" ht="15" customHeight="1" x14ac:dyDescent="0.25">
      <c r="A100" s="446"/>
      <c r="B100" s="447"/>
      <c r="F100" s="25"/>
      <c r="G100" s="18"/>
      <c r="H100" s="482"/>
      <c r="J100" s="25"/>
      <c r="K100" s="18"/>
      <c r="L100" s="482"/>
      <c r="N100" s="25"/>
      <c r="O100" s="18"/>
      <c r="P100" s="482"/>
      <c r="R100" s="500"/>
    </row>
    <row r="101" spans="1:18" x14ac:dyDescent="0.25">
      <c r="A101" s="20" t="s">
        <v>27</v>
      </c>
      <c r="B101" s="21"/>
      <c r="F101" s="22"/>
      <c r="G101" s="23">
        <f>+ROUND(G93*G95*$B$187/(LOOKUP(G94,$A$153:$A$187,$B$153:$B$187)),0)</f>
        <v>0</v>
      </c>
      <c r="H101" s="26">
        <f>IFERROR(ROUND(G101/$B$187,2),"")</f>
        <v>0</v>
      </c>
      <c r="J101" s="22" t="s">
        <v>54</v>
      </c>
      <c r="K101" s="23">
        <f>+ROUND(K93*K95*$B$187/(LOOKUP(K94,$A$153:$A$187,$B$153:$B$187)),0)</f>
        <v>566141044</v>
      </c>
      <c r="L101" s="26">
        <f>IFERROR(ROUND(K101/$B$187,2),"")</f>
        <v>644.95000000000005</v>
      </c>
      <c r="N101" s="22"/>
      <c r="O101" s="23">
        <f>+ROUND(O93*O95*$B$187/(LOOKUP(O94,$A$153:$A$187,$B$153:$B$187)),0)</f>
        <v>0</v>
      </c>
      <c r="P101" s="26">
        <f>IFERROR(ROUND(O101/$B$187,2),"")</f>
        <v>0</v>
      </c>
      <c r="R101" s="24"/>
    </row>
    <row r="103" spans="1:18" s="346" customFormat="1" x14ac:dyDescent="0.25">
      <c r="A103" s="164" t="s">
        <v>887</v>
      </c>
      <c r="B103" s="341"/>
      <c r="C103" s="342"/>
      <c r="D103" s="342"/>
      <c r="E103" s="342"/>
      <c r="F103" s="343"/>
      <c r="G103" s="344" t="s">
        <v>887</v>
      </c>
      <c r="H103" s="345"/>
      <c r="J103" s="343"/>
      <c r="K103" s="344" t="s">
        <v>887</v>
      </c>
      <c r="L103" s="345"/>
      <c r="N103" s="343"/>
      <c r="O103" s="344" t="s">
        <v>887</v>
      </c>
      <c r="P103" s="345"/>
      <c r="R103" s="347"/>
    </row>
    <row r="104" spans="1:18" x14ac:dyDescent="0.25">
      <c r="A104" s="12"/>
      <c r="B104" s="13"/>
      <c r="F104" s="25"/>
      <c r="G104" s="24"/>
      <c r="H104" s="19"/>
      <c r="J104" s="25"/>
      <c r="K104" s="24"/>
      <c r="L104" s="19"/>
      <c r="N104" s="25"/>
      <c r="O104" s="24"/>
      <c r="P104" s="19"/>
      <c r="R104" s="24"/>
    </row>
    <row r="105" spans="1:18" x14ac:dyDescent="0.25">
      <c r="A105" s="12" t="s">
        <v>22</v>
      </c>
      <c r="B105" s="13"/>
      <c r="F105" s="14" t="s">
        <v>23</v>
      </c>
      <c r="G105" s="15">
        <v>0</v>
      </c>
      <c r="H105" s="16"/>
      <c r="J105" s="14" t="s">
        <v>23</v>
      </c>
      <c r="K105" s="15">
        <v>415661851</v>
      </c>
      <c r="L105" s="16" t="s">
        <v>15</v>
      </c>
      <c r="N105" s="14" t="s">
        <v>23</v>
      </c>
      <c r="O105" s="15">
        <v>0</v>
      </c>
      <c r="P105" s="16"/>
      <c r="R105" s="3"/>
    </row>
    <row r="106" spans="1:18" ht="15" customHeight="1" x14ac:dyDescent="0.25">
      <c r="A106" s="12" t="s">
        <v>24</v>
      </c>
      <c r="B106" s="13"/>
      <c r="F106" s="25"/>
      <c r="G106" s="24">
        <v>2000</v>
      </c>
      <c r="H106" s="482" t="s">
        <v>74</v>
      </c>
      <c r="J106" s="25"/>
      <c r="K106" s="24">
        <v>2016</v>
      </c>
      <c r="L106" s="482" t="s">
        <v>888</v>
      </c>
      <c r="N106" s="25"/>
      <c r="O106" s="24">
        <v>2000</v>
      </c>
      <c r="P106" s="482"/>
      <c r="R106" s="500"/>
    </row>
    <row r="107" spans="1:18" ht="15" customHeight="1" x14ac:dyDescent="0.25">
      <c r="A107" s="17" t="s">
        <v>25</v>
      </c>
      <c r="B107" s="13"/>
      <c r="F107" s="50"/>
      <c r="G107" s="18">
        <v>0</v>
      </c>
      <c r="H107" s="482"/>
      <c r="J107" s="50"/>
      <c r="K107" s="18">
        <v>1</v>
      </c>
      <c r="L107" s="482"/>
      <c r="N107" s="50"/>
      <c r="O107" s="18">
        <v>0</v>
      </c>
      <c r="P107" s="482"/>
      <c r="R107" s="500"/>
    </row>
    <row r="108" spans="1:18" ht="15" customHeight="1" x14ac:dyDescent="0.25">
      <c r="A108" s="450"/>
      <c r="B108" s="451"/>
      <c r="F108" s="25"/>
      <c r="G108" s="18"/>
      <c r="H108" s="482"/>
      <c r="J108" s="25"/>
      <c r="K108" s="18" t="s">
        <v>889</v>
      </c>
      <c r="L108" s="482"/>
      <c r="N108" s="25"/>
      <c r="O108" s="18"/>
      <c r="P108" s="482"/>
      <c r="R108" s="500"/>
    </row>
    <row r="109" spans="1:18" ht="15" customHeight="1" x14ac:dyDescent="0.25">
      <c r="A109" s="450"/>
      <c r="B109" s="451"/>
      <c r="F109" s="25"/>
      <c r="G109" s="18"/>
      <c r="H109" s="482"/>
      <c r="J109" s="25"/>
      <c r="K109" s="18"/>
      <c r="L109" s="482"/>
      <c r="N109" s="25"/>
      <c r="O109" s="18"/>
      <c r="P109" s="482"/>
      <c r="R109" s="500"/>
    </row>
    <row r="110" spans="1:18" ht="15" customHeight="1" x14ac:dyDescent="0.25">
      <c r="A110" s="450"/>
      <c r="B110" s="451"/>
      <c r="F110" s="449"/>
      <c r="G110" s="18"/>
      <c r="H110" s="482"/>
      <c r="J110" s="449"/>
      <c r="K110" s="18"/>
      <c r="L110" s="482"/>
      <c r="N110" s="449"/>
      <c r="O110" s="18"/>
      <c r="P110" s="482"/>
      <c r="R110" s="500"/>
    </row>
    <row r="111" spans="1:18" ht="15" customHeight="1" x14ac:dyDescent="0.25">
      <c r="A111" s="450"/>
      <c r="B111" s="451"/>
      <c r="F111" s="25"/>
      <c r="G111" s="18"/>
      <c r="H111" s="482"/>
      <c r="J111" s="25"/>
      <c r="K111" s="18"/>
      <c r="L111" s="482"/>
      <c r="N111" s="25"/>
      <c r="O111" s="18"/>
      <c r="P111" s="482"/>
      <c r="R111" s="500"/>
    </row>
    <row r="112" spans="1:18" ht="15" customHeight="1" x14ac:dyDescent="0.25">
      <c r="A112" s="450"/>
      <c r="B112" s="451"/>
      <c r="F112" s="25"/>
      <c r="G112" s="18"/>
      <c r="H112" s="482"/>
      <c r="J112" s="25"/>
      <c r="K112" s="18"/>
      <c r="L112" s="482"/>
      <c r="N112" s="25"/>
      <c r="O112" s="18"/>
      <c r="P112" s="482"/>
      <c r="R112" s="500"/>
    </row>
    <row r="113" spans="1:18" x14ac:dyDescent="0.25">
      <c r="A113" s="20" t="s">
        <v>27</v>
      </c>
      <c r="B113" s="21"/>
      <c r="F113" s="22"/>
      <c r="G113" s="23">
        <f>+ROUND(G105*G107*$B$187/(LOOKUP(G106,$A$153:$A$187,$B$153:$B$187)),0)</f>
        <v>0</v>
      </c>
      <c r="H113" s="26">
        <f>IFERROR(ROUND(G113/$B$187,2),"")</f>
        <v>0</v>
      </c>
      <c r="J113" s="22" t="s">
        <v>54</v>
      </c>
      <c r="K113" s="23">
        <f>+ROUND(K105*K107*$B$187/(LOOKUP(K106,$A$153:$A$187,$B$153:$B$187)),0)</f>
        <v>529214741</v>
      </c>
      <c r="L113" s="26">
        <f>IFERROR(ROUND(K113/$B$187,2),"")</f>
        <v>602.89</v>
      </c>
      <c r="N113" s="22"/>
      <c r="O113" s="23">
        <f>+ROUND(O105*O107*$B$187/(LOOKUP(O106,$A$153:$A$187,$B$153:$B$187)),0)</f>
        <v>0</v>
      </c>
      <c r="P113" s="26">
        <f>IFERROR(ROUND(O113/$B$187,2),"")</f>
        <v>0</v>
      </c>
      <c r="R113" s="24"/>
    </row>
    <row r="115" spans="1:18" s="346" customFormat="1" x14ac:dyDescent="0.25">
      <c r="A115" s="164" t="s">
        <v>890</v>
      </c>
      <c r="B115" s="341"/>
      <c r="C115" s="342"/>
      <c r="D115" s="342"/>
      <c r="E115" s="342"/>
      <c r="F115" s="343"/>
      <c r="G115" s="344" t="s">
        <v>890</v>
      </c>
      <c r="H115" s="345"/>
      <c r="J115" s="343"/>
      <c r="K115" s="344" t="s">
        <v>890</v>
      </c>
      <c r="L115" s="345"/>
      <c r="N115" s="343"/>
      <c r="O115" s="344" t="s">
        <v>890</v>
      </c>
      <c r="P115" s="345"/>
      <c r="R115" s="347"/>
    </row>
    <row r="116" spans="1:18" x14ac:dyDescent="0.25">
      <c r="A116" s="12"/>
      <c r="B116" s="13"/>
      <c r="F116" s="25"/>
      <c r="G116" s="24"/>
      <c r="H116" s="19"/>
      <c r="J116" s="25"/>
      <c r="K116" s="24"/>
      <c r="L116" s="19"/>
      <c r="N116" s="25"/>
      <c r="O116" s="24"/>
      <c r="P116" s="19"/>
      <c r="R116" s="24"/>
    </row>
    <row r="117" spans="1:18" x14ac:dyDescent="0.25">
      <c r="A117" s="12" t="s">
        <v>22</v>
      </c>
      <c r="B117" s="13"/>
      <c r="F117" s="14" t="s">
        <v>23</v>
      </c>
      <c r="G117" s="15">
        <v>0</v>
      </c>
      <c r="H117" s="16"/>
      <c r="J117" s="14" t="s">
        <v>23</v>
      </c>
      <c r="K117" s="15">
        <v>3258725444</v>
      </c>
      <c r="L117" s="16" t="s">
        <v>15</v>
      </c>
      <c r="N117" s="14" t="s">
        <v>23</v>
      </c>
      <c r="O117" s="15">
        <v>0</v>
      </c>
      <c r="P117" s="16"/>
      <c r="R117" s="3"/>
    </row>
    <row r="118" spans="1:18" ht="15" customHeight="1" x14ac:dyDescent="0.25">
      <c r="A118" s="12" t="s">
        <v>24</v>
      </c>
      <c r="B118" s="13"/>
      <c r="F118" s="25"/>
      <c r="G118" s="24">
        <v>2000</v>
      </c>
      <c r="H118" s="501" t="s">
        <v>886</v>
      </c>
      <c r="J118" s="25"/>
      <c r="K118" s="24">
        <v>2019</v>
      </c>
      <c r="L118" s="482" t="s">
        <v>892</v>
      </c>
      <c r="N118" s="25"/>
      <c r="O118" s="24">
        <v>2000</v>
      </c>
      <c r="P118" s="482"/>
      <c r="R118" s="500"/>
    </row>
    <row r="119" spans="1:18" ht="15" customHeight="1" x14ac:dyDescent="0.25">
      <c r="A119" s="17" t="s">
        <v>25</v>
      </c>
      <c r="B119" s="13"/>
      <c r="F119" s="50"/>
      <c r="G119" s="18">
        <v>0</v>
      </c>
      <c r="H119" s="501"/>
      <c r="J119" s="50"/>
      <c r="K119" s="18">
        <v>1</v>
      </c>
      <c r="L119" s="482"/>
      <c r="N119" s="50"/>
      <c r="O119" s="18">
        <v>0</v>
      </c>
      <c r="P119" s="482"/>
      <c r="R119" s="500"/>
    </row>
    <row r="120" spans="1:18" ht="15" customHeight="1" x14ac:dyDescent="0.25">
      <c r="A120" s="450"/>
      <c r="B120" s="451"/>
      <c r="F120" s="25"/>
      <c r="G120" s="18"/>
      <c r="H120" s="501"/>
      <c r="J120" s="25"/>
      <c r="K120" s="18" t="s">
        <v>891</v>
      </c>
      <c r="L120" s="482"/>
      <c r="N120" s="25"/>
      <c r="O120" s="18"/>
      <c r="P120" s="482"/>
      <c r="R120" s="500"/>
    </row>
    <row r="121" spans="1:18" ht="15" customHeight="1" x14ac:dyDescent="0.25">
      <c r="A121" s="450"/>
      <c r="B121" s="451"/>
      <c r="F121" s="25"/>
      <c r="G121" s="18"/>
      <c r="H121" s="501"/>
      <c r="J121" s="25"/>
      <c r="K121" s="18"/>
      <c r="L121" s="482"/>
      <c r="N121" s="25"/>
      <c r="O121" s="18"/>
      <c r="P121" s="482"/>
      <c r="R121" s="500"/>
    </row>
    <row r="122" spans="1:18" ht="15" customHeight="1" x14ac:dyDescent="0.25">
      <c r="A122" s="450"/>
      <c r="B122" s="451"/>
      <c r="F122" s="449"/>
      <c r="G122" s="18"/>
      <c r="H122" s="501"/>
      <c r="J122" s="449"/>
      <c r="K122" s="18"/>
      <c r="L122" s="482"/>
      <c r="N122" s="449"/>
      <c r="O122" s="18"/>
      <c r="P122" s="482"/>
      <c r="R122" s="500"/>
    </row>
    <row r="123" spans="1:18" ht="15" customHeight="1" x14ac:dyDescent="0.25">
      <c r="A123" s="450"/>
      <c r="B123" s="451"/>
      <c r="F123" s="25"/>
      <c r="G123" s="18"/>
      <c r="H123" s="501"/>
      <c r="J123" s="25"/>
      <c r="K123" s="18"/>
      <c r="L123" s="482"/>
      <c r="N123" s="25"/>
      <c r="O123" s="18"/>
      <c r="P123" s="482"/>
      <c r="R123" s="500"/>
    </row>
    <row r="124" spans="1:18" ht="15" customHeight="1" x14ac:dyDescent="0.25">
      <c r="A124" s="450"/>
      <c r="B124" s="451"/>
      <c r="F124" s="25"/>
      <c r="G124" s="18"/>
      <c r="H124" s="501"/>
      <c r="J124" s="25"/>
      <c r="K124" s="18"/>
      <c r="L124" s="482"/>
      <c r="N124" s="25"/>
      <c r="O124" s="18"/>
      <c r="P124" s="482"/>
      <c r="R124" s="500"/>
    </row>
    <row r="125" spans="1:18" x14ac:dyDescent="0.25">
      <c r="A125" s="20" t="s">
        <v>27</v>
      </c>
      <c r="B125" s="21"/>
      <c r="F125" s="22"/>
      <c r="G125" s="23">
        <f>+ROUND(G117*G119*$B$187/(LOOKUP(G118,$A$153:$A$187,$B$153:$B$187)),0)</f>
        <v>0</v>
      </c>
      <c r="H125" s="26">
        <f>IFERROR(ROUND(G125/$B$187,2),"")</f>
        <v>0</v>
      </c>
      <c r="J125" s="22" t="s">
        <v>717</v>
      </c>
      <c r="K125" s="23">
        <f>+ROUND(K117*K119*$B$187/(LOOKUP(K118,$A$153:$A$187,$B$153:$B$187)),0)</f>
        <v>3454249128</v>
      </c>
      <c r="L125" s="26">
        <f>IFERROR(ROUND(K125/$B$187,2),"")</f>
        <v>3935.11</v>
      </c>
      <c r="N125" s="22"/>
      <c r="O125" s="23">
        <f>+ROUND(O117*O119*$B$187/(LOOKUP(O118,$A$153:$A$187,$B$153:$B$187)),0)</f>
        <v>0</v>
      </c>
      <c r="P125" s="26">
        <f>IFERROR(ROUND(O125/$B$187,2),"")</f>
        <v>0</v>
      </c>
      <c r="R125" s="24"/>
    </row>
    <row r="127" spans="1:18" ht="15.75" x14ac:dyDescent="0.25">
      <c r="A127" s="32" t="s">
        <v>35</v>
      </c>
    </row>
    <row r="128" spans="1:18" x14ac:dyDescent="0.25">
      <c r="A128" s="39"/>
    </row>
    <row r="129" spans="1:1" x14ac:dyDescent="0.25">
      <c r="A129" s="39"/>
    </row>
    <row r="130" spans="1:1" ht="15.75" x14ac:dyDescent="0.25">
      <c r="A130" s="41"/>
    </row>
    <row r="131" spans="1:1" ht="15.75" x14ac:dyDescent="0.25">
      <c r="A131" s="42" t="s">
        <v>36</v>
      </c>
    </row>
    <row r="132" spans="1:1" ht="15.75" x14ac:dyDescent="0.25">
      <c r="A132" s="43" t="s">
        <v>391</v>
      </c>
    </row>
    <row r="133" spans="1:1" ht="15.75" x14ac:dyDescent="0.25">
      <c r="A133" s="43"/>
    </row>
    <row r="134" spans="1:1" ht="15.75" x14ac:dyDescent="0.25">
      <c r="A134" s="43"/>
    </row>
    <row r="135" spans="1:1" ht="15.75" x14ac:dyDescent="0.25">
      <c r="A135" s="43"/>
    </row>
    <row r="136" spans="1:1" ht="15.75" x14ac:dyDescent="0.25">
      <c r="A136" s="42" t="s">
        <v>819</v>
      </c>
    </row>
    <row r="137" spans="1:1" ht="15.75" x14ac:dyDescent="0.25">
      <c r="A137" s="43" t="s">
        <v>391</v>
      </c>
    </row>
    <row r="138" spans="1:1" x14ac:dyDescent="0.25">
      <c r="A138" s="39"/>
    </row>
    <row r="139" spans="1:1" x14ac:dyDescent="0.25">
      <c r="A139" s="39"/>
    </row>
    <row r="140" spans="1:1" x14ac:dyDescent="0.25">
      <c r="A140" s="39"/>
    </row>
    <row r="141" spans="1:1" ht="15.75" x14ac:dyDescent="0.25">
      <c r="A141" s="42" t="s">
        <v>392</v>
      </c>
    </row>
    <row r="142" spans="1:1" ht="15.75" x14ac:dyDescent="0.25">
      <c r="A142" s="43" t="s">
        <v>391</v>
      </c>
    </row>
    <row r="143" spans="1:1" ht="15.75" x14ac:dyDescent="0.25">
      <c r="A143" s="43"/>
    </row>
    <row r="144" spans="1:1" ht="15.75" x14ac:dyDescent="0.25">
      <c r="A144" s="43"/>
    </row>
    <row r="145" spans="1:2" ht="15.75" x14ac:dyDescent="0.25">
      <c r="A145" s="43"/>
    </row>
    <row r="146" spans="1:2" ht="15.75" x14ac:dyDescent="0.25">
      <c r="A146" s="42" t="s">
        <v>37</v>
      </c>
    </row>
    <row r="147" spans="1:2" ht="15.75" x14ac:dyDescent="0.25">
      <c r="A147" s="43" t="s">
        <v>38</v>
      </c>
    </row>
    <row r="148" spans="1:2" ht="15.75" x14ac:dyDescent="0.25">
      <c r="A148" s="43" t="s">
        <v>39</v>
      </c>
    </row>
    <row r="153" spans="1:2" ht="16.5" x14ac:dyDescent="0.3">
      <c r="A153" s="28">
        <v>1986</v>
      </c>
      <c r="B153" s="89">
        <v>16811</v>
      </c>
    </row>
    <row r="154" spans="1:2" ht="16.5" x14ac:dyDescent="0.3">
      <c r="A154" s="28">
        <v>1987</v>
      </c>
      <c r="B154" s="89">
        <v>20510</v>
      </c>
    </row>
    <row r="155" spans="1:2" ht="16.5" x14ac:dyDescent="0.3">
      <c r="A155" s="28">
        <v>1988</v>
      </c>
      <c r="B155" s="89">
        <v>25637</v>
      </c>
    </row>
    <row r="156" spans="1:2" ht="16.5" x14ac:dyDescent="0.3">
      <c r="A156" s="28">
        <v>1989</v>
      </c>
      <c r="B156" s="89">
        <v>32560</v>
      </c>
    </row>
    <row r="157" spans="1:2" ht="16.5" x14ac:dyDescent="0.3">
      <c r="A157" s="28">
        <v>1990</v>
      </c>
      <c r="B157" s="89">
        <v>41025</v>
      </c>
    </row>
    <row r="158" spans="1:2" ht="16.5" x14ac:dyDescent="0.3">
      <c r="A158" s="28">
        <v>1991</v>
      </c>
      <c r="B158" s="89">
        <v>51716</v>
      </c>
    </row>
    <row r="159" spans="1:2" ht="16.5" x14ac:dyDescent="0.3">
      <c r="A159" s="28">
        <v>1992</v>
      </c>
      <c r="B159" s="89">
        <v>65190</v>
      </c>
    </row>
    <row r="160" spans="1:2" ht="16.5" x14ac:dyDescent="0.3">
      <c r="A160" s="28">
        <v>1993</v>
      </c>
      <c r="B160" s="89">
        <v>81510</v>
      </c>
    </row>
    <row r="161" spans="1:2" ht="16.5" x14ac:dyDescent="0.3">
      <c r="A161" s="28">
        <v>1994</v>
      </c>
      <c r="B161" s="89">
        <v>98700</v>
      </c>
    </row>
    <row r="162" spans="1:2" ht="16.5" x14ac:dyDescent="0.3">
      <c r="A162" s="28">
        <v>1995</v>
      </c>
      <c r="B162" s="89">
        <v>118934</v>
      </c>
    </row>
    <row r="163" spans="1:2" ht="16.5" x14ac:dyDescent="0.3">
      <c r="A163" s="28">
        <v>1996</v>
      </c>
      <c r="B163" s="89">
        <v>142125</v>
      </c>
    </row>
    <row r="164" spans="1:2" ht="16.5" x14ac:dyDescent="0.3">
      <c r="A164" s="28">
        <v>1997</v>
      </c>
      <c r="B164" s="89">
        <v>172005</v>
      </c>
    </row>
    <row r="165" spans="1:2" ht="16.5" x14ac:dyDescent="0.3">
      <c r="A165" s="28">
        <v>1998</v>
      </c>
      <c r="B165" s="89">
        <v>203826</v>
      </c>
    </row>
    <row r="166" spans="1:2" ht="16.5" x14ac:dyDescent="0.3">
      <c r="A166" s="28">
        <v>1999</v>
      </c>
      <c r="B166" s="89">
        <v>236460</v>
      </c>
    </row>
    <row r="167" spans="1:2" ht="16.5" x14ac:dyDescent="0.3">
      <c r="A167" s="28">
        <v>2000</v>
      </c>
      <c r="B167" s="89">
        <v>260100</v>
      </c>
    </row>
    <row r="168" spans="1:2" ht="16.5" x14ac:dyDescent="0.3">
      <c r="A168" s="28">
        <v>2001</v>
      </c>
      <c r="B168" s="89">
        <v>286000</v>
      </c>
    </row>
    <row r="169" spans="1:2" ht="16.5" x14ac:dyDescent="0.3">
      <c r="A169" s="28">
        <v>2002</v>
      </c>
      <c r="B169" s="89">
        <v>309000</v>
      </c>
    </row>
    <row r="170" spans="1:2" ht="16.5" x14ac:dyDescent="0.3">
      <c r="A170" s="28">
        <v>2003</v>
      </c>
      <c r="B170" s="89">
        <v>332000</v>
      </c>
    </row>
    <row r="171" spans="1:2" ht="16.5" x14ac:dyDescent="0.3">
      <c r="A171" s="28">
        <v>2004</v>
      </c>
      <c r="B171" s="89">
        <v>358000</v>
      </c>
    </row>
    <row r="172" spans="1:2" ht="16.5" x14ac:dyDescent="0.3">
      <c r="A172" s="28">
        <v>2005</v>
      </c>
      <c r="B172" s="89">
        <v>381500</v>
      </c>
    </row>
    <row r="173" spans="1:2" ht="16.5" x14ac:dyDescent="0.3">
      <c r="A173" s="28">
        <v>2006</v>
      </c>
      <c r="B173" s="89">
        <v>408000</v>
      </c>
    </row>
    <row r="174" spans="1:2" ht="16.5" x14ac:dyDescent="0.3">
      <c r="A174" s="28">
        <v>2007</v>
      </c>
      <c r="B174" s="89">
        <v>433700</v>
      </c>
    </row>
    <row r="175" spans="1:2" ht="16.5" x14ac:dyDescent="0.3">
      <c r="A175" s="28">
        <v>2008</v>
      </c>
      <c r="B175" s="89">
        <v>461500</v>
      </c>
    </row>
    <row r="176" spans="1:2" ht="16.5" x14ac:dyDescent="0.3">
      <c r="A176" s="28">
        <v>2009</v>
      </c>
      <c r="B176" s="89">
        <v>496900</v>
      </c>
    </row>
    <row r="177" spans="1:2" ht="16.5" x14ac:dyDescent="0.3">
      <c r="A177" s="28">
        <v>2010</v>
      </c>
      <c r="B177" s="89">
        <v>515000</v>
      </c>
    </row>
    <row r="178" spans="1:2" ht="16.5" x14ac:dyDescent="0.3">
      <c r="A178" s="28">
        <v>2011</v>
      </c>
      <c r="B178" s="89">
        <v>535600</v>
      </c>
    </row>
    <row r="179" spans="1:2" ht="16.5" x14ac:dyDescent="0.3">
      <c r="A179" s="28">
        <v>2012</v>
      </c>
      <c r="B179" s="89">
        <v>566700</v>
      </c>
    </row>
    <row r="180" spans="1:2" ht="16.5" x14ac:dyDescent="0.3">
      <c r="A180" s="28">
        <v>2013</v>
      </c>
      <c r="B180" s="89">
        <v>589500</v>
      </c>
    </row>
    <row r="181" spans="1:2" ht="16.5" x14ac:dyDescent="0.3">
      <c r="A181" s="28">
        <v>2014</v>
      </c>
      <c r="B181" s="89">
        <v>616000</v>
      </c>
    </row>
    <row r="182" spans="1:2" ht="16.5" x14ac:dyDescent="0.3">
      <c r="A182" s="28">
        <v>2015</v>
      </c>
      <c r="B182" s="89">
        <v>644350</v>
      </c>
    </row>
    <row r="183" spans="1:2" ht="16.5" x14ac:dyDescent="0.3">
      <c r="A183" s="28">
        <v>2016</v>
      </c>
      <c r="B183" s="89">
        <v>689454</v>
      </c>
    </row>
    <row r="184" spans="1:2" ht="16.5" x14ac:dyDescent="0.3">
      <c r="A184" s="28">
        <v>2017</v>
      </c>
      <c r="B184" s="89">
        <v>737717</v>
      </c>
    </row>
    <row r="185" spans="1:2" ht="16.5" x14ac:dyDescent="0.3">
      <c r="A185" s="28">
        <v>2018</v>
      </c>
      <c r="B185" s="89">
        <v>781242</v>
      </c>
    </row>
    <row r="186" spans="1:2" ht="16.5" x14ac:dyDescent="0.3">
      <c r="A186" s="28">
        <v>2019</v>
      </c>
      <c r="B186" s="89">
        <v>828116</v>
      </c>
    </row>
    <row r="187" spans="1:2" ht="16.5" x14ac:dyDescent="0.3">
      <c r="A187" s="28">
        <v>2020</v>
      </c>
      <c r="B187" s="89">
        <v>877803</v>
      </c>
    </row>
  </sheetData>
  <mergeCells count="41">
    <mergeCell ref="H118:H124"/>
    <mergeCell ref="L118:L124"/>
    <mergeCell ref="P118:P124"/>
    <mergeCell ref="R118:R124"/>
    <mergeCell ref="H106:H112"/>
    <mergeCell ref="L106:L112"/>
    <mergeCell ref="P106:P112"/>
    <mergeCell ref="R106:R112"/>
    <mergeCell ref="H94:H100"/>
    <mergeCell ref="L94:L100"/>
    <mergeCell ref="P94:P100"/>
    <mergeCell ref="R94:R100"/>
    <mergeCell ref="R82:R88"/>
    <mergeCell ref="H70:H76"/>
    <mergeCell ref="L70:L76"/>
    <mergeCell ref="P70:P76"/>
    <mergeCell ref="H82:H88"/>
    <mergeCell ref="L82:L88"/>
    <mergeCell ref="P82:P88"/>
    <mergeCell ref="A1:B2"/>
    <mergeCell ref="A4:B4"/>
    <mergeCell ref="L22:L28"/>
    <mergeCell ref="H22:H28"/>
    <mergeCell ref="A15:B17"/>
    <mergeCell ref="D15:D17"/>
    <mergeCell ref="A13:B13"/>
    <mergeCell ref="A9:B11"/>
    <mergeCell ref="D9:D11"/>
    <mergeCell ref="H15:H17"/>
    <mergeCell ref="L15:L17"/>
    <mergeCell ref="P15:P17"/>
    <mergeCell ref="H58:H64"/>
    <mergeCell ref="L58:L64"/>
    <mergeCell ref="P58:P64"/>
    <mergeCell ref="H46:H52"/>
    <mergeCell ref="L46:L52"/>
    <mergeCell ref="P46:P52"/>
    <mergeCell ref="H34:H40"/>
    <mergeCell ref="L34:L40"/>
    <mergeCell ref="P22:P28"/>
    <mergeCell ref="P34:P40"/>
  </mergeCells>
  <conditionalFormatting sqref="H13">
    <cfRule type="cellIs" dxfId="193" priority="7" operator="equal">
      <formula>"CUMPLE"</formula>
    </cfRule>
    <cfRule type="cellIs" dxfId="192" priority="434" operator="equal">
      <formula>"NO CUMPLE"</formula>
    </cfRule>
  </conditionalFormatting>
  <conditionalFormatting sqref="H9:H11">
    <cfRule type="cellIs" dxfId="191" priority="422" operator="equal">
      <formula>"NO CUMPLE"</formula>
    </cfRule>
  </conditionalFormatting>
  <conditionalFormatting sqref="L9:L11">
    <cfRule type="cellIs" dxfId="190" priority="420" operator="equal">
      <formula>"NO CUMPLE"</formula>
    </cfRule>
  </conditionalFormatting>
  <conditionalFormatting sqref="P12">
    <cfRule type="cellIs" dxfId="189" priority="191" operator="equal">
      <formula>"NO CUMPLE"</formula>
    </cfRule>
  </conditionalFormatting>
  <conditionalFormatting sqref="P9:P11">
    <cfRule type="cellIs" dxfId="188" priority="189" operator="equal">
      <formula>"NO CUMPLE"</formula>
    </cfRule>
  </conditionalFormatting>
  <conditionalFormatting sqref="L8">
    <cfRule type="cellIs" dxfId="187" priority="165" operator="equal">
      <formula>"NO CUMPLE"</formula>
    </cfRule>
  </conditionalFormatting>
  <conditionalFormatting sqref="P8">
    <cfRule type="cellIs" dxfId="186" priority="164" operator="equal">
      <formula>"NO CUMPLE"</formula>
    </cfRule>
  </conditionalFormatting>
  <conditionalFormatting sqref="L14">
    <cfRule type="cellIs" dxfId="185" priority="96" operator="equal">
      <formula>"NO CUMPLE"</formula>
    </cfRule>
  </conditionalFormatting>
  <conditionalFormatting sqref="L14">
    <cfRule type="cellIs" dxfId="184" priority="95" operator="equal">
      <formula>"NO"</formula>
    </cfRule>
  </conditionalFormatting>
  <conditionalFormatting sqref="P14">
    <cfRule type="cellIs" dxfId="183" priority="94" operator="equal">
      <formula>"NO CUMPLE"</formula>
    </cfRule>
  </conditionalFormatting>
  <conditionalFormatting sqref="P14">
    <cfRule type="cellIs" dxfId="182" priority="93" operator="equal">
      <formula>"NO"</formula>
    </cfRule>
  </conditionalFormatting>
  <conditionalFormatting sqref="R4 R12">
    <cfRule type="cellIs" dxfId="181" priority="73" operator="equal">
      <formula>"NO CUMPLE"</formula>
    </cfRule>
  </conditionalFormatting>
  <conditionalFormatting sqref="R16:R17">
    <cfRule type="cellIs" dxfId="180" priority="72" operator="equal">
      <formula>"NO CUMPLE"</formula>
    </cfRule>
  </conditionalFormatting>
  <conditionalFormatting sqref="R9:R11">
    <cfRule type="cellIs" dxfId="179" priority="71" operator="equal">
      <formula>"NO CUMPLE"</formula>
    </cfRule>
  </conditionalFormatting>
  <conditionalFormatting sqref="R8">
    <cfRule type="cellIs" dxfId="178" priority="68" operator="equal">
      <formula>"NO CUMPLE"</formula>
    </cfRule>
  </conditionalFormatting>
  <conditionalFormatting sqref="R13:R14">
    <cfRule type="cellIs" dxfId="177" priority="67" operator="equal">
      <formula>"NO CUMPLE"</formula>
    </cfRule>
  </conditionalFormatting>
  <conditionalFormatting sqref="R13:R14">
    <cfRule type="cellIs" dxfId="176" priority="66" operator="equal">
      <formula>"NO"</formula>
    </cfRule>
  </conditionalFormatting>
  <conditionalFormatting sqref="R15">
    <cfRule type="cellIs" dxfId="175" priority="65" operator="equal">
      <formula>"NO"</formula>
    </cfRule>
  </conditionalFormatting>
  <conditionalFormatting sqref="R6:R7">
    <cfRule type="cellIs" dxfId="174" priority="44" operator="equal">
      <formula>"NO CUMPLE"</formula>
    </cfRule>
  </conditionalFormatting>
  <conditionalFormatting sqref="R5">
    <cfRule type="cellIs" dxfId="173" priority="43" operator="equal">
      <formula>"NO"</formula>
    </cfRule>
  </conditionalFormatting>
  <conditionalFormatting sqref="H15:H17">
    <cfRule type="cellIs" dxfId="172" priority="1" operator="equal">
      <formula>"CUMPLE"</formula>
    </cfRule>
    <cfRule type="cellIs" dxfId="171" priority="28" operator="equal">
      <formula>"NO CUMPLE"</formula>
    </cfRule>
  </conditionalFormatting>
  <conditionalFormatting sqref="H4">
    <cfRule type="cellIs" dxfId="170" priority="410" operator="equal">
      <formula>"NO CUMPLE"</formula>
    </cfRule>
    <cfRule type="cellIs" dxfId="169" priority="411" operator="equal">
      <formula>"CUMPLE"</formula>
    </cfRule>
  </conditionalFormatting>
  <conditionalFormatting sqref="L4">
    <cfRule type="cellIs" dxfId="168" priority="24" operator="equal">
      <formula>"NO CUMPLE"</formula>
    </cfRule>
    <cfRule type="cellIs" dxfId="167" priority="25" operator="equal">
      <formula>"CUMPLE"</formula>
    </cfRule>
  </conditionalFormatting>
  <conditionalFormatting sqref="P4">
    <cfRule type="cellIs" dxfId="166" priority="22" operator="equal">
      <formula>"NO CUMPLE"</formula>
    </cfRule>
    <cfRule type="cellIs" dxfId="165" priority="23" operator="equal">
      <formula>"CUMPLE"</formula>
    </cfRule>
  </conditionalFormatting>
  <conditionalFormatting sqref="L13">
    <cfRule type="cellIs" dxfId="164" priority="11" operator="equal">
      <formula>"NO CUMPLE"</formula>
    </cfRule>
  </conditionalFormatting>
  <conditionalFormatting sqref="L13">
    <cfRule type="cellIs" dxfId="163" priority="10" operator="equal">
      <formula>"CUMPLE"</formula>
    </cfRule>
  </conditionalFormatting>
  <conditionalFormatting sqref="P13">
    <cfRule type="cellIs" dxfId="162" priority="9" operator="equal">
      <formula>"NO CUMPLE"</formula>
    </cfRule>
  </conditionalFormatting>
  <conditionalFormatting sqref="P13">
    <cfRule type="cellIs" dxfId="161" priority="8" operator="equal">
      <formula>"CUMPLE"</formula>
    </cfRule>
  </conditionalFormatting>
  <conditionalFormatting sqref="L15:L17">
    <cfRule type="cellIs" dxfId="160" priority="2" operator="equal">
      <formula>"CUMPLE"</formula>
    </cfRule>
    <cfRule type="cellIs" dxfId="159" priority="5" operator="equal">
      <formula>"NO CUMPLE"</formula>
    </cfRule>
  </conditionalFormatting>
  <conditionalFormatting sqref="P15:P17">
    <cfRule type="cellIs" dxfId="158" priority="3" operator="equal">
      <formula>"CUMPLE"</formula>
    </cfRule>
    <cfRule type="cellIs" dxfId="157" priority="4" operator="equal">
      <formula>"NO CUMPLE"</formula>
    </cfRule>
  </conditionalFormatting>
  <pageMargins left="0.47244094488188981" right="0.47244094488188981" top="0.59055118110236227" bottom="0.59055118110236227" header="0.31496062992125984" footer="0.31496062992125984"/>
  <pageSetup scale="4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3"/>
  <sheetViews>
    <sheetView view="pageBreakPreview" zoomScale="90" zoomScaleNormal="90" zoomScaleSheetLayoutView="90" workbookViewId="0">
      <pane xSplit="5" ySplit="3" topLeftCell="G22" activePane="bottomRight" state="frozen"/>
      <selection pane="topRight" activeCell="F1" sqref="F1"/>
      <selection pane="bottomLeft" activeCell="A4" sqref="A4"/>
      <selection pane="bottomRight" activeCell="N33" sqref="N33"/>
    </sheetView>
  </sheetViews>
  <sheetFormatPr baseColWidth="10" defaultRowHeight="15" x14ac:dyDescent="0.25"/>
  <cols>
    <col min="1" max="2" width="20.7109375" style="2" customWidth="1"/>
    <col min="3" max="3" width="2.7109375" style="2" customWidth="1"/>
    <col min="4" max="4" width="20.7109375" style="2" customWidth="1"/>
    <col min="5" max="5" width="2.7109375" style="2" customWidth="1"/>
    <col min="6" max="6" width="8.7109375" style="2" customWidth="1"/>
    <col min="7" max="7" width="22.5703125" style="2" customWidth="1"/>
    <col min="8" max="8" width="20.7109375" style="2" customWidth="1"/>
    <col min="9" max="9" width="3.28515625" customWidth="1"/>
    <col min="10" max="10" width="8.7109375" style="2" customWidth="1"/>
    <col min="11" max="12" width="20.7109375" style="2" customWidth="1"/>
    <col min="13" max="13" width="3.28515625" customWidth="1"/>
    <col min="14" max="14" width="8.7109375" style="2" customWidth="1"/>
    <col min="15" max="16" width="20.7109375" style="2" customWidth="1"/>
    <col min="17" max="17" width="3.28515625" customWidth="1"/>
    <col min="18" max="18" width="20.7109375" style="2" customWidth="1"/>
    <col min="19" max="19" width="3.28515625" customWidth="1"/>
  </cols>
  <sheetData>
    <row r="1" spans="1:18" x14ac:dyDescent="0.25">
      <c r="A1" s="483" t="s">
        <v>16</v>
      </c>
      <c r="B1" s="483"/>
      <c r="C1" s="4"/>
      <c r="D1" s="5" t="s">
        <v>17</v>
      </c>
      <c r="E1" s="4"/>
      <c r="F1" s="4"/>
      <c r="G1" s="87">
        <v>1</v>
      </c>
      <c r="H1" s="4"/>
      <c r="J1" s="4"/>
      <c r="K1" s="87">
        <v>2</v>
      </c>
      <c r="L1" s="4"/>
      <c r="N1" s="4"/>
      <c r="O1" s="87">
        <v>3</v>
      </c>
      <c r="P1" s="4"/>
      <c r="R1" s="4"/>
    </row>
    <row r="2" spans="1:18" ht="25.5" x14ac:dyDescent="0.25">
      <c r="A2" s="483"/>
      <c r="B2" s="483"/>
      <c r="C2" s="6"/>
      <c r="D2" s="7" t="s">
        <v>712</v>
      </c>
      <c r="E2" s="6"/>
      <c r="F2" s="6"/>
      <c r="G2" s="88" t="str">
        <f>'VERIFICACIÓN TÉCNICA'!C10</f>
        <v>CONSORCIO TULCAN 2020</v>
      </c>
      <c r="H2" s="6"/>
      <c r="J2" s="6"/>
      <c r="K2" s="88" t="str">
        <f>'VERIFICACIÓN TÉCNICA'!E10</f>
        <v>CONSORCIO UNIDEPOR 2020</v>
      </c>
      <c r="L2" s="6"/>
      <c r="N2" s="6"/>
      <c r="O2" s="88" t="str">
        <f>'VERIFICACIÓN TÉCNICA'!G10</f>
        <v>CONSORCIO DEPORTIVO 2020</v>
      </c>
      <c r="P2" s="6"/>
      <c r="R2" s="6"/>
    </row>
    <row r="3" spans="1:18" x14ac:dyDescent="0.25">
      <c r="C3" s="8"/>
      <c r="E3" s="8"/>
      <c r="F3" s="8"/>
      <c r="G3" s="9"/>
      <c r="H3" s="8"/>
      <c r="J3" s="8"/>
      <c r="K3" s="9"/>
      <c r="L3" s="8"/>
      <c r="N3" s="8"/>
      <c r="O3" s="9"/>
      <c r="P3" s="8"/>
      <c r="R3" s="8"/>
    </row>
    <row r="4" spans="1:18" s="167" customFormat="1" x14ac:dyDescent="0.25">
      <c r="A4" s="484" t="s">
        <v>18</v>
      </c>
      <c r="B4" s="485"/>
      <c r="C4" s="162"/>
      <c r="D4" s="181">
        <v>7067912240</v>
      </c>
      <c r="E4" s="162"/>
      <c r="F4" s="415" t="s">
        <v>19</v>
      </c>
      <c r="G4" s="416" t="s">
        <v>835</v>
      </c>
      <c r="H4" s="171"/>
      <c r="J4" s="415" t="s">
        <v>19</v>
      </c>
      <c r="K4" s="416" t="s">
        <v>835</v>
      </c>
      <c r="L4" s="171"/>
      <c r="N4" s="415" t="s">
        <v>19</v>
      </c>
      <c r="O4" s="416" t="s">
        <v>835</v>
      </c>
      <c r="P4" s="171"/>
      <c r="R4" s="171"/>
    </row>
    <row r="5" spans="1:18" x14ac:dyDescent="0.25">
      <c r="A5" s="172"/>
      <c r="B5" s="173"/>
      <c r="D5" s="174"/>
      <c r="F5" s="421" t="s">
        <v>54</v>
      </c>
      <c r="G5" s="422" t="s">
        <v>836</v>
      </c>
      <c r="H5" s="9"/>
      <c r="J5" s="421" t="s">
        <v>54</v>
      </c>
      <c r="K5" s="422" t="s">
        <v>836</v>
      </c>
      <c r="L5" s="9"/>
      <c r="N5" s="421" t="s">
        <v>54</v>
      </c>
      <c r="O5" s="422" t="s">
        <v>836</v>
      </c>
      <c r="P5" s="9"/>
      <c r="R5" s="9"/>
    </row>
    <row r="6" spans="1:18" x14ac:dyDescent="0.25">
      <c r="A6" s="10"/>
      <c r="B6" s="10"/>
      <c r="D6" s="46"/>
      <c r="G6" s="46"/>
      <c r="H6" s="9"/>
      <c r="K6" s="46"/>
      <c r="L6" s="9"/>
      <c r="O6" s="46"/>
      <c r="P6" s="9"/>
      <c r="R6" s="9"/>
    </row>
    <row r="7" spans="1:18" s="197" customFormat="1" ht="41.25" customHeight="1" x14ac:dyDescent="0.25">
      <c r="A7" s="504" t="s">
        <v>837</v>
      </c>
      <c r="B7" s="505"/>
      <c r="C7" s="348"/>
      <c r="D7" s="420">
        <f>+ROUND($D$4*0.1,0)</f>
        <v>706791224</v>
      </c>
      <c r="E7" s="348"/>
      <c r="F7" s="417" t="s">
        <v>19</v>
      </c>
      <c r="G7" s="420">
        <f>+SUMIF(F$13:F$32,F7,G$13:G$32)</f>
        <v>9745639655</v>
      </c>
      <c r="H7" s="193" t="str">
        <f>+IF(G7&gt;=$D7,"CUMPLE","NO CUMPLE")</f>
        <v>CUMPLE</v>
      </c>
      <c r="J7" s="417" t="s">
        <v>19</v>
      </c>
      <c r="K7" s="420">
        <f>+SUMIF(J$13:J$32,J7,K$13:K$32)</f>
        <v>17327846226</v>
      </c>
      <c r="L7" s="193" t="str">
        <f>+IF(K7&gt;=$D7,"CUMPLE","NO CUMPLE")</f>
        <v>CUMPLE</v>
      </c>
      <c r="N7" s="417" t="s">
        <v>19</v>
      </c>
      <c r="O7" s="420">
        <f>+SUMIF(N$13:N$32,N7,O$13:O$32)</f>
        <v>0</v>
      </c>
      <c r="P7" s="193" t="str">
        <f>+IF(O7&gt;=$D7,"CUMPLE","NO CUMPLE")</f>
        <v>NO CUMPLE</v>
      </c>
      <c r="R7" s="194"/>
    </row>
    <row r="8" spans="1:18" s="2" customFormat="1" x14ac:dyDescent="0.25">
      <c r="A8" s="177"/>
      <c r="B8" s="177"/>
      <c r="D8" s="178"/>
      <c r="F8" s="179"/>
      <c r="G8" s="180"/>
      <c r="H8" s="9"/>
      <c r="J8" s="179"/>
      <c r="K8" s="180"/>
      <c r="L8" s="9"/>
      <c r="N8" s="179"/>
      <c r="O8" s="180"/>
      <c r="P8" s="9"/>
      <c r="R8" s="9"/>
    </row>
    <row r="9" spans="1:18" s="197" customFormat="1" ht="41.25" customHeight="1" x14ac:dyDescent="0.25">
      <c r="A9" s="502" t="s">
        <v>839</v>
      </c>
      <c r="B9" s="503"/>
      <c r="C9" s="348"/>
      <c r="D9" s="423">
        <f>+ROUND($D$4*0.15,0)</f>
        <v>1060186836</v>
      </c>
      <c r="E9" s="348"/>
      <c r="F9" s="424" t="s">
        <v>54</v>
      </c>
      <c r="G9" s="423">
        <f>+SUMIF(F$36:F$55,F9,G$36:G$55)</f>
        <v>8513969882</v>
      </c>
      <c r="H9" s="193" t="str">
        <f>+IF(G9&gt;=$D9,"CUMPLE","NO CUMPLE")</f>
        <v>CUMPLE</v>
      </c>
      <c r="J9" s="424" t="s">
        <v>54</v>
      </c>
      <c r="K9" s="423">
        <f>+SUMIF(J$36:J$55,J9,K$36:K$55)</f>
        <v>28098708456</v>
      </c>
      <c r="L9" s="193" t="str">
        <f>+IF(K9&gt;=$D9,"CUMPLE","NO CUMPLE")</f>
        <v>CUMPLE</v>
      </c>
      <c r="N9" s="424" t="s">
        <v>54</v>
      </c>
      <c r="O9" s="423">
        <f>+SUMIF(N$36:N$55,N9,O$36:O$55)</f>
        <v>0</v>
      </c>
      <c r="P9" s="193" t="str">
        <f>+IF(O9&gt;=$D9,"CUMPLE","NO CUMPLE")</f>
        <v>NO CUMPLE</v>
      </c>
      <c r="R9" s="194"/>
    </row>
    <row r="10" spans="1:18" x14ac:dyDescent="0.25">
      <c r="A10" s="10"/>
    </row>
    <row r="11" spans="1:18" x14ac:dyDescent="0.25">
      <c r="A11" s="412" t="s">
        <v>838</v>
      </c>
      <c r="B11" s="413"/>
      <c r="C11" s="413"/>
      <c r="D11" s="413"/>
      <c r="E11" s="413"/>
      <c r="F11" s="413"/>
      <c r="G11" s="413"/>
      <c r="H11" s="413"/>
      <c r="I11" s="414"/>
      <c r="J11" s="413"/>
      <c r="K11" s="413"/>
      <c r="L11" s="413"/>
      <c r="M11" s="414"/>
      <c r="N11" s="413"/>
      <c r="O11" s="413"/>
      <c r="P11" s="413"/>
      <c r="Q11" s="414"/>
    </row>
    <row r="12" spans="1:18" x14ac:dyDescent="0.25">
      <c r="A12" s="10"/>
    </row>
    <row r="13" spans="1:18" x14ac:dyDescent="0.25">
      <c r="A13" s="164" t="s">
        <v>21</v>
      </c>
      <c r="B13" s="11"/>
      <c r="D13" s="171"/>
      <c r="F13" s="27"/>
      <c r="G13" s="165" t="s">
        <v>21</v>
      </c>
      <c r="H13" s="166"/>
      <c r="I13" s="167"/>
      <c r="J13" s="168"/>
      <c r="K13" s="165" t="s">
        <v>21</v>
      </c>
      <c r="L13" s="166"/>
      <c r="M13" s="167"/>
      <c r="N13" s="168"/>
      <c r="O13" s="165" t="s">
        <v>21</v>
      </c>
      <c r="P13" s="166"/>
      <c r="Q13" s="167"/>
      <c r="R13" s="24"/>
    </row>
    <row r="14" spans="1:18" x14ac:dyDescent="0.25">
      <c r="A14" s="12"/>
      <c r="B14" s="13"/>
      <c r="F14" s="25"/>
      <c r="G14" s="24"/>
      <c r="H14" s="19"/>
      <c r="J14" s="25"/>
      <c r="K14" s="24"/>
      <c r="L14" s="19"/>
      <c r="N14" s="25"/>
      <c r="O14" s="24"/>
      <c r="P14" s="19"/>
      <c r="R14" s="24"/>
    </row>
    <row r="15" spans="1:18" x14ac:dyDescent="0.25">
      <c r="A15" s="12" t="s">
        <v>22</v>
      </c>
      <c r="B15" s="13"/>
      <c r="D15" s="193"/>
      <c r="F15" s="419"/>
      <c r="G15" s="189">
        <v>1161952563</v>
      </c>
      <c r="H15" s="16" t="s">
        <v>15</v>
      </c>
      <c r="J15" s="419"/>
      <c r="K15" s="189">
        <v>10479517993</v>
      </c>
      <c r="L15" s="16"/>
      <c r="N15" s="419"/>
      <c r="O15" s="15">
        <v>0</v>
      </c>
      <c r="P15" s="16"/>
      <c r="R15" s="3"/>
    </row>
    <row r="16" spans="1:18" ht="15" customHeight="1" x14ac:dyDescent="0.25">
      <c r="A16" s="12" t="s">
        <v>24</v>
      </c>
      <c r="B16" s="13"/>
      <c r="D16" s="193"/>
      <c r="F16" s="25"/>
      <c r="G16" s="24">
        <v>2019</v>
      </c>
      <c r="H16" s="411"/>
      <c r="J16" s="25"/>
      <c r="K16" s="24">
        <v>2012</v>
      </c>
      <c r="L16" s="411"/>
      <c r="N16" s="25"/>
      <c r="O16" s="24">
        <v>2000</v>
      </c>
      <c r="P16" s="411"/>
      <c r="R16" s="163"/>
    </row>
    <row r="17" spans="1:18" x14ac:dyDescent="0.25">
      <c r="A17" s="17" t="s">
        <v>25</v>
      </c>
      <c r="B17" s="13"/>
      <c r="D17" s="194"/>
      <c r="F17" s="50"/>
      <c r="G17" s="45">
        <v>1</v>
      </c>
      <c r="H17" s="411"/>
      <c r="J17" s="188"/>
      <c r="K17" s="187">
        <v>1</v>
      </c>
      <c r="L17" s="411"/>
      <c r="N17" s="188"/>
      <c r="O17" s="187">
        <v>0</v>
      </c>
      <c r="P17" s="411"/>
      <c r="R17" s="163"/>
    </row>
    <row r="18" spans="1:18" x14ac:dyDescent="0.25">
      <c r="A18" s="20" t="s">
        <v>27</v>
      </c>
      <c r="B18" s="21"/>
      <c r="D18" s="194"/>
      <c r="F18" s="418" t="s">
        <v>19</v>
      </c>
      <c r="G18" s="429">
        <f>+ROUND(G15*G17*$B$113/(LOOKUP(G16,$A$79:$A$113,$B$79:$B$113)),0)</f>
        <v>1231669773</v>
      </c>
      <c r="H18" s="26">
        <f>+ROUND(G18/$B$113,2)</f>
        <v>1403.13</v>
      </c>
      <c r="J18" s="418" t="s">
        <v>19</v>
      </c>
      <c r="K18" s="429">
        <f>+ROUND(K15*K17*$B$113/(LOOKUP(K16,$A$79:$A$113,$B$79:$B$113)),0)</f>
        <v>16232490441</v>
      </c>
      <c r="L18" s="26">
        <f>+ROUND(K18/$B$113,2)</f>
        <v>18492.18</v>
      </c>
      <c r="N18" s="418" t="s">
        <v>19</v>
      </c>
      <c r="O18" s="429">
        <f>+ROUND(O15*O17*$B$113/(LOOKUP(O16,$A$79:$A$113,$B$79:$B$113)),0)</f>
        <v>0</v>
      </c>
      <c r="P18" s="26">
        <f>+ROUND(O18/$B$113,2)</f>
        <v>0</v>
      </c>
      <c r="R18" s="24"/>
    </row>
    <row r="19" spans="1:18" x14ac:dyDescent="0.25">
      <c r="D19" s="194"/>
    </row>
    <row r="20" spans="1:18" x14ac:dyDescent="0.25">
      <c r="A20" s="164" t="s">
        <v>26</v>
      </c>
      <c r="B20" s="11"/>
      <c r="D20" s="194"/>
      <c r="F20" s="27"/>
      <c r="G20" s="165" t="s">
        <v>26</v>
      </c>
      <c r="H20" s="166"/>
      <c r="I20" s="167"/>
      <c r="J20" s="168"/>
      <c r="K20" s="165" t="s">
        <v>26</v>
      </c>
      <c r="L20" s="166"/>
      <c r="M20" s="167"/>
      <c r="N20" s="168"/>
      <c r="O20" s="165" t="s">
        <v>26</v>
      </c>
      <c r="P20" s="166"/>
      <c r="Q20" s="167"/>
      <c r="R20" s="24"/>
    </row>
    <row r="21" spans="1:18" x14ac:dyDescent="0.25">
      <c r="A21" s="12"/>
      <c r="B21" s="13"/>
      <c r="D21" s="194"/>
      <c r="F21" s="25"/>
      <c r="G21" s="24"/>
      <c r="H21" s="19"/>
      <c r="J21" s="25"/>
      <c r="K21" s="24"/>
      <c r="L21" s="19"/>
      <c r="N21" s="25"/>
      <c r="O21" s="24"/>
      <c r="P21" s="19"/>
      <c r="R21" s="24"/>
    </row>
    <row r="22" spans="1:18" ht="15" customHeight="1" x14ac:dyDescent="0.25">
      <c r="A22" s="12" t="s">
        <v>22</v>
      </c>
      <c r="B22" s="13"/>
      <c r="F22" s="419"/>
      <c r="G22" s="189">
        <v>3199765527</v>
      </c>
      <c r="H22" s="16" t="s">
        <v>15</v>
      </c>
      <c r="J22" s="419"/>
      <c r="K22" s="189">
        <v>415575000</v>
      </c>
      <c r="L22" s="16"/>
      <c r="N22" s="419"/>
      <c r="O22" s="15">
        <v>0</v>
      </c>
      <c r="P22" s="16"/>
      <c r="R22" s="3"/>
    </row>
    <row r="23" spans="1:18" ht="15" customHeight="1" x14ac:dyDescent="0.25">
      <c r="A23" s="12" t="s">
        <v>24</v>
      </c>
      <c r="B23" s="13"/>
      <c r="F23" s="25"/>
      <c r="G23" s="24">
        <v>2018</v>
      </c>
      <c r="H23" s="411"/>
      <c r="J23" s="25"/>
      <c r="K23" s="24">
        <v>2015</v>
      </c>
      <c r="L23" s="411"/>
      <c r="N23" s="25"/>
      <c r="O23" s="24">
        <v>2000</v>
      </c>
      <c r="P23" s="411"/>
      <c r="R23" s="163"/>
    </row>
    <row r="24" spans="1:18" x14ac:dyDescent="0.25">
      <c r="A24" s="17" t="s">
        <v>25</v>
      </c>
      <c r="B24" s="13"/>
      <c r="F24" s="50"/>
      <c r="G24" s="45">
        <v>1</v>
      </c>
      <c r="H24" s="411"/>
      <c r="J24" s="50"/>
      <c r="K24" s="18">
        <v>1</v>
      </c>
      <c r="L24" s="411"/>
      <c r="N24" s="190"/>
      <c r="O24" s="187">
        <v>0</v>
      </c>
      <c r="P24" s="411"/>
      <c r="R24" s="163"/>
    </row>
    <row r="25" spans="1:18" x14ac:dyDescent="0.25">
      <c r="A25" s="20" t="s">
        <v>27</v>
      </c>
      <c r="B25" s="21"/>
      <c r="F25" s="418" t="s">
        <v>19</v>
      </c>
      <c r="G25" s="429">
        <f>+ROUND(G22*G24*$B$113/(LOOKUP(G23,$A$79:$A$113,$B$79:$B$113)),0)</f>
        <v>3595254452</v>
      </c>
      <c r="H25" s="26">
        <f>IFERROR(ROUND(G25/$B$113,2),"")</f>
        <v>4095.74</v>
      </c>
      <c r="J25" s="418" t="s">
        <v>19</v>
      </c>
      <c r="K25" s="429">
        <f>+ROUND(K22*K24*$B$113/(LOOKUP(K23,$A$79:$A$113,$B$79:$B$113)),0)</f>
        <v>566141044</v>
      </c>
      <c r="L25" s="26">
        <f>IFERROR(ROUND(K25/$B$113,2),"")</f>
        <v>644.95000000000005</v>
      </c>
      <c r="N25" s="418" t="s">
        <v>19</v>
      </c>
      <c r="O25" s="429">
        <f>+ROUND(O22*O24*$B$113/(LOOKUP(O23,$A$79:$A$113,$B$79:$B$113)),0)</f>
        <v>0</v>
      </c>
      <c r="P25" s="26">
        <f>IFERROR(ROUND(O25/$B$113,2),"")</f>
        <v>0</v>
      </c>
      <c r="R25" s="24"/>
    </row>
    <row r="27" spans="1:18" x14ac:dyDescent="0.25">
      <c r="A27" s="164" t="s">
        <v>71</v>
      </c>
      <c r="B27" s="11"/>
      <c r="F27" s="27"/>
      <c r="G27" s="165" t="s">
        <v>71</v>
      </c>
      <c r="H27" s="166"/>
      <c r="I27" s="167"/>
      <c r="J27" s="168"/>
      <c r="K27" s="165" t="s">
        <v>71</v>
      </c>
      <c r="L27" s="166"/>
      <c r="M27" s="167"/>
      <c r="N27" s="168"/>
      <c r="O27" s="165" t="s">
        <v>71</v>
      </c>
      <c r="P27" s="166"/>
      <c r="Q27" s="167"/>
      <c r="R27" s="24"/>
    </row>
    <row r="28" spans="1:18" x14ac:dyDescent="0.25">
      <c r="A28" s="12"/>
      <c r="B28" s="13"/>
      <c r="F28" s="25"/>
      <c r="G28" s="24"/>
      <c r="H28" s="19"/>
      <c r="J28" s="25"/>
      <c r="K28" s="24"/>
      <c r="L28" s="19"/>
      <c r="N28" s="25"/>
      <c r="O28" s="24"/>
      <c r="P28" s="19"/>
      <c r="R28" s="24"/>
    </row>
    <row r="29" spans="1:18" x14ac:dyDescent="0.25">
      <c r="A29" s="12" t="s">
        <v>22</v>
      </c>
      <c r="B29" s="13"/>
      <c r="F29" s="419"/>
      <c r="G29" s="15">
        <v>4640297364</v>
      </c>
      <c r="H29" s="16" t="s">
        <v>15</v>
      </c>
      <c r="J29" s="419"/>
      <c r="K29" s="15">
        <v>415661851</v>
      </c>
      <c r="L29" s="16"/>
      <c r="N29" s="419"/>
      <c r="O29" s="15">
        <v>0</v>
      </c>
      <c r="P29" s="16"/>
      <c r="R29" s="3"/>
    </row>
    <row r="30" spans="1:18" ht="15" customHeight="1" x14ac:dyDescent="0.25">
      <c r="A30" s="12" t="s">
        <v>24</v>
      </c>
      <c r="B30" s="13"/>
      <c r="F30" s="25"/>
      <c r="G30" s="24">
        <v>2019</v>
      </c>
      <c r="H30" s="411"/>
      <c r="J30" s="25"/>
      <c r="K30" s="24">
        <v>2016</v>
      </c>
      <c r="L30" s="411"/>
      <c r="N30" s="25"/>
      <c r="O30" s="24">
        <v>2000</v>
      </c>
      <c r="P30" s="411"/>
      <c r="R30" s="163"/>
    </row>
    <row r="31" spans="1:18" x14ac:dyDescent="0.25">
      <c r="A31" s="17" t="s">
        <v>25</v>
      </c>
      <c r="B31" s="13"/>
      <c r="F31" s="50"/>
      <c r="G31" s="18">
        <v>1</v>
      </c>
      <c r="H31" s="411"/>
      <c r="J31" s="50"/>
      <c r="K31" s="18">
        <v>1</v>
      </c>
      <c r="L31" s="411"/>
      <c r="N31" s="50"/>
      <c r="O31" s="187">
        <v>0</v>
      </c>
      <c r="P31" s="411"/>
      <c r="R31" s="163"/>
    </row>
    <row r="32" spans="1:18" x14ac:dyDescent="0.25">
      <c r="A32" s="20" t="s">
        <v>27</v>
      </c>
      <c r="B32" s="21"/>
      <c r="F32" s="418" t="s">
        <v>19</v>
      </c>
      <c r="G32" s="429">
        <f>+ROUND(G29*G31*$B$113/(LOOKUP(G30,$A$79:$A$113,$B$79:$B$113)),0)</f>
        <v>4918715430</v>
      </c>
      <c r="H32" s="26">
        <f>IFERROR(ROUND(G32/$B$113,2),"")</f>
        <v>5603.44</v>
      </c>
      <c r="J32" s="418" t="s">
        <v>19</v>
      </c>
      <c r="K32" s="429">
        <f>+ROUND(K29*K31*$B$113/(LOOKUP(K30,$A$79:$A$113,$B$79:$B$113)),0)</f>
        <v>529214741</v>
      </c>
      <c r="L32" s="26">
        <f>IFERROR(ROUND(K32/$B$113,2),"")</f>
        <v>602.89</v>
      </c>
      <c r="N32" s="418" t="s">
        <v>19</v>
      </c>
      <c r="O32" s="429">
        <f>+ROUND(O29*O31*$B$113/(LOOKUP(O30,$A$79:$A$113,$B$79:$B$113)),0)</f>
        <v>0</v>
      </c>
      <c r="P32" s="26">
        <f>IFERROR(ROUND(O32/$B$113,2),"")</f>
        <v>0</v>
      </c>
      <c r="R32" s="24"/>
    </row>
    <row r="34" spans="1:18" x14ac:dyDescent="0.25">
      <c r="A34" s="425" t="s">
        <v>840</v>
      </c>
      <c r="B34" s="426"/>
      <c r="C34" s="426"/>
      <c r="D34" s="426"/>
      <c r="E34" s="426"/>
      <c r="F34" s="426"/>
      <c r="G34" s="426"/>
      <c r="H34" s="426"/>
      <c r="I34" s="427"/>
      <c r="J34" s="426"/>
      <c r="K34" s="426"/>
      <c r="L34" s="426"/>
      <c r="M34" s="427"/>
      <c r="N34" s="426"/>
      <c r="O34" s="426"/>
      <c r="P34" s="426"/>
      <c r="Q34" s="427"/>
    </row>
    <row r="35" spans="1:18" x14ac:dyDescent="0.25">
      <c r="A35" s="10"/>
    </row>
    <row r="36" spans="1:18" x14ac:dyDescent="0.25">
      <c r="A36" s="164" t="s">
        <v>21</v>
      </c>
      <c r="B36" s="11"/>
      <c r="D36" s="171"/>
      <c r="F36" s="27"/>
      <c r="G36" s="165" t="s">
        <v>21</v>
      </c>
      <c r="H36" s="166"/>
      <c r="I36" s="167"/>
      <c r="J36" s="168"/>
      <c r="K36" s="165" t="s">
        <v>21</v>
      </c>
      <c r="L36" s="166"/>
      <c r="M36" s="167"/>
      <c r="N36" s="168"/>
      <c r="O36" s="165" t="s">
        <v>21</v>
      </c>
      <c r="P36" s="166"/>
      <c r="Q36" s="167"/>
      <c r="R36" s="24"/>
    </row>
    <row r="37" spans="1:18" x14ac:dyDescent="0.25">
      <c r="A37" s="12"/>
      <c r="B37" s="13"/>
      <c r="F37" s="25"/>
      <c r="G37" s="24"/>
      <c r="H37" s="19"/>
      <c r="J37" s="25"/>
      <c r="K37" s="24"/>
      <c r="L37" s="19"/>
      <c r="N37" s="25"/>
      <c r="O37" s="24"/>
      <c r="P37" s="19"/>
      <c r="R37" s="24"/>
    </row>
    <row r="38" spans="1:18" x14ac:dyDescent="0.25">
      <c r="A38" s="12" t="s">
        <v>22</v>
      </c>
      <c r="B38" s="13"/>
      <c r="D38" s="193"/>
      <c r="F38" s="419"/>
      <c r="G38" s="189">
        <v>1161952563</v>
      </c>
      <c r="H38" s="16" t="s">
        <v>847</v>
      </c>
      <c r="J38" s="419"/>
      <c r="K38" s="189">
        <v>10479517993</v>
      </c>
      <c r="L38" s="16"/>
      <c r="N38" s="419"/>
      <c r="O38" s="15">
        <v>0</v>
      </c>
      <c r="P38" s="16"/>
      <c r="R38" s="3"/>
    </row>
    <row r="39" spans="1:18" ht="15" customHeight="1" x14ac:dyDescent="0.25">
      <c r="A39" s="12" t="s">
        <v>24</v>
      </c>
      <c r="B39" s="13"/>
      <c r="D39" s="193"/>
      <c r="F39" s="25"/>
      <c r="G39" s="24">
        <v>2019</v>
      </c>
      <c r="H39" s="482" t="s">
        <v>848</v>
      </c>
      <c r="J39" s="25"/>
      <c r="K39" s="24">
        <v>2012</v>
      </c>
      <c r="L39" s="411"/>
      <c r="N39" s="25"/>
      <c r="O39" s="24">
        <v>2000</v>
      </c>
      <c r="P39" s="411"/>
      <c r="R39" s="163"/>
    </row>
    <row r="40" spans="1:18" x14ac:dyDescent="0.25">
      <c r="A40" s="17" t="s">
        <v>25</v>
      </c>
      <c r="B40" s="13"/>
      <c r="D40" s="194"/>
      <c r="F40" s="50">
        <v>1</v>
      </c>
      <c r="G40" s="45">
        <v>0</v>
      </c>
      <c r="H40" s="482"/>
      <c r="J40" s="188"/>
      <c r="K40" s="187">
        <v>1</v>
      </c>
      <c r="L40" s="411"/>
      <c r="N40" s="188"/>
      <c r="O40" s="187">
        <v>0</v>
      </c>
      <c r="P40" s="411"/>
      <c r="R40" s="163"/>
    </row>
    <row r="41" spans="1:18" x14ac:dyDescent="0.25">
      <c r="A41" s="20" t="s">
        <v>27</v>
      </c>
      <c r="B41" s="21"/>
      <c r="D41" s="194"/>
      <c r="F41" s="428" t="s">
        <v>54</v>
      </c>
      <c r="G41" s="429">
        <f>+ROUND(G38*G40*$B$113/(LOOKUP(G39,$A$79:$A$113,$B$79:$B$113)),0)</f>
        <v>0</v>
      </c>
      <c r="H41" s="26">
        <f>+ROUND(G41/$B$113,2)</f>
        <v>0</v>
      </c>
      <c r="J41" s="428" t="s">
        <v>54</v>
      </c>
      <c r="K41" s="429">
        <f>+ROUND(K38*K40*$B$113/(LOOKUP(K39,$A$79:$A$113,$B$79:$B$113)),0)</f>
        <v>16232490441</v>
      </c>
      <c r="L41" s="26">
        <f>+ROUND(K41/$B$113,2)</f>
        <v>18492.18</v>
      </c>
      <c r="N41" s="428" t="s">
        <v>54</v>
      </c>
      <c r="O41" s="429">
        <f>+ROUND(O38*O40*$B$113/(LOOKUP(O39,$A$79:$A$113,$B$79:$B$113)),0)</f>
        <v>0</v>
      </c>
      <c r="P41" s="26">
        <f>+ROUND(O41/$B$113,2)</f>
        <v>0</v>
      </c>
      <c r="R41" s="24"/>
    </row>
    <row r="42" spans="1:18" x14ac:dyDescent="0.25">
      <c r="D42" s="194"/>
    </row>
    <row r="43" spans="1:18" x14ac:dyDescent="0.25">
      <c r="A43" s="164" t="s">
        <v>26</v>
      </c>
      <c r="B43" s="11"/>
      <c r="D43" s="194"/>
      <c r="F43" s="27"/>
      <c r="G43" s="165" t="s">
        <v>26</v>
      </c>
      <c r="H43" s="166"/>
      <c r="I43" s="167"/>
      <c r="J43" s="168"/>
      <c r="K43" s="165" t="s">
        <v>26</v>
      </c>
      <c r="L43" s="166"/>
      <c r="M43" s="167"/>
      <c r="N43" s="168"/>
      <c r="O43" s="165" t="s">
        <v>26</v>
      </c>
      <c r="P43" s="166"/>
      <c r="Q43" s="167"/>
      <c r="R43" s="24"/>
    </row>
    <row r="44" spans="1:18" x14ac:dyDescent="0.25">
      <c r="A44" s="12"/>
      <c r="B44" s="13"/>
      <c r="D44" s="194"/>
      <c r="F44" s="25"/>
      <c r="G44" s="24"/>
      <c r="H44" s="19"/>
      <c r="J44" s="25"/>
      <c r="K44" s="24"/>
      <c r="L44" s="19"/>
      <c r="N44" s="25"/>
      <c r="O44" s="24"/>
      <c r="P44" s="19"/>
      <c r="R44" s="24"/>
    </row>
    <row r="45" spans="1:18" ht="15" customHeight="1" x14ac:dyDescent="0.25">
      <c r="A45" s="12" t="s">
        <v>22</v>
      </c>
      <c r="B45" s="13"/>
      <c r="F45" s="419"/>
      <c r="G45" s="15">
        <v>4640297364</v>
      </c>
      <c r="H45" s="16" t="s">
        <v>15</v>
      </c>
      <c r="J45" s="419"/>
      <c r="K45" s="189">
        <v>7588713384</v>
      </c>
      <c r="L45" s="16"/>
      <c r="N45" s="419"/>
      <c r="O45" s="15">
        <v>0</v>
      </c>
      <c r="P45" s="16"/>
      <c r="R45" s="3"/>
    </row>
    <row r="46" spans="1:18" ht="15" customHeight="1" x14ac:dyDescent="0.25">
      <c r="A46" s="12" t="s">
        <v>24</v>
      </c>
      <c r="B46" s="13"/>
      <c r="F46" s="25"/>
      <c r="G46" s="24">
        <v>2019</v>
      </c>
      <c r="H46" s="411"/>
      <c r="J46" s="25"/>
      <c r="K46" s="24">
        <v>2013</v>
      </c>
      <c r="L46" s="411"/>
      <c r="N46" s="25"/>
      <c r="O46" s="24">
        <v>2000</v>
      </c>
      <c r="P46" s="411"/>
      <c r="R46" s="163"/>
    </row>
    <row r="47" spans="1:18" x14ac:dyDescent="0.25">
      <c r="A47" s="17" t="s">
        <v>25</v>
      </c>
      <c r="B47" s="13"/>
      <c r="F47" s="50"/>
      <c r="G47" s="18">
        <v>1</v>
      </c>
      <c r="H47" s="411"/>
      <c r="J47" s="50"/>
      <c r="K47" s="18">
        <v>1</v>
      </c>
      <c r="L47" s="411"/>
      <c r="N47" s="190"/>
      <c r="O47" s="187">
        <v>0</v>
      </c>
      <c r="P47" s="411"/>
      <c r="R47" s="163"/>
    </row>
    <row r="48" spans="1:18" x14ac:dyDescent="0.25">
      <c r="A48" s="20" t="s">
        <v>27</v>
      </c>
      <c r="B48" s="21"/>
      <c r="F48" s="428" t="s">
        <v>54</v>
      </c>
      <c r="G48" s="429">
        <f>+ROUND(G45*G47*$B$113/(LOOKUP(G46,$A$79:$A$113,$B$79:$B$113)),0)</f>
        <v>4918715430</v>
      </c>
      <c r="H48" s="26">
        <f>IFERROR(ROUND(G48/$B$113,2),"")</f>
        <v>5603.44</v>
      </c>
      <c r="J48" s="428" t="s">
        <v>54</v>
      </c>
      <c r="K48" s="429">
        <f>+ROUND(K45*K47*$B$113/(LOOKUP(K46,$A$79:$A$113,$B$79:$B$113)),0)</f>
        <v>11300076971</v>
      </c>
      <c r="L48" s="26">
        <f>IFERROR(ROUND(K48/$B$113,2),"")</f>
        <v>12873.14</v>
      </c>
      <c r="N48" s="428" t="s">
        <v>54</v>
      </c>
      <c r="O48" s="429">
        <f>+ROUND(O45*O47*$B$113/(LOOKUP(O46,$A$79:$A$113,$B$79:$B$113)),0)</f>
        <v>0</v>
      </c>
      <c r="P48" s="26">
        <f>IFERROR(ROUND(O48/$B$113,2),"")</f>
        <v>0</v>
      </c>
      <c r="R48" s="24"/>
    </row>
    <row r="50" spans="1:18" x14ac:dyDescent="0.25">
      <c r="A50" s="164" t="s">
        <v>71</v>
      </c>
      <c r="B50" s="11"/>
      <c r="F50" s="27"/>
      <c r="G50" s="165" t="s">
        <v>71</v>
      </c>
      <c r="H50" s="166"/>
      <c r="I50" s="167"/>
      <c r="J50" s="168"/>
      <c r="K50" s="165" t="s">
        <v>71</v>
      </c>
      <c r="L50" s="166"/>
      <c r="M50" s="167"/>
      <c r="N50" s="168"/>
      <c r="O50" s="165" t="s">
        <v>71</v>
      </c>
      <c r="P50" s="166"/>
      <c r="Q50" s="167"/>
      <c r="R50" s="24"/>
    </row>
    <row r="51" spans="1:18" x14ac:dyDescent="0.25">
      <c r="A51" s="12"/>
      <c r="B51" s="13"/>
      <c r="F51" s="25"/>
      <c r="G51" s="24"/>
      <c r="H51" s="19"/>
      <c r="J51" s="25"/>
      <c r="K51" s="24"/>
      <c r="L51" s="19"/>
      <c r="N51" s="25"/>
      <c r="O51" s="24"/>
      <c r="P51" s="19"/>
      <c r="R51" s="24"/>
    </row>
    <row r="52" spans="1:18" x14ac:dyDescent="0.25">
      <c r="A52" s="12" t="s">
        <v>22</v>
      </c>
      <c r="B52" s="13"/>
      <c r="F52" s="419"/>
      <c r="G52" s="189">
        <v>3199765527</v>
      </c>
      <c r="H52" s="16" t="s">
        <v>15</v>
      </c>
      <c r="J52" s="419"/>
      <c r="K52" s="15">
        <v>415575000</v>
      </c>
      <c r="L52" s="16"/>
      <c r="N52" s="419"/>
      <c r="O52" s="15">
        <v>0</v>
      </c>
      <c r="P52" s="16"/>
      <c r="R52" s="3"/>
    </row>
    <row r="53" spans="1:18" ht="15" customHeight="1" x14ac:dyDescent="0.25">
      <c r="A53" s="12" t="s">
        <v>24</v>
      </c>
      <c r="B53" s="13"/>
      <c r="F53" s="25"/>
      <c r="G53" s="24">
        <v>2018</v>
      </c>
      <c r="H53" s="411"/>
      <c r="J53" s="25"/>
      <c r="K53" s="24">
        <v>2015</v>
      </c>
      <c r="L53" s="411"/>
      <c r="N53" s="25"/>
      <c r="O53" s="24">
        <v>2000</v>
      </c>
      <c r="P53" s="411"/>
      <c r="R53" s="163"/>
    </row>
    <row r="54" spans="1:18" x14ac:dyDescent="0.25">
      <c r="A54" s="17" t="s">
        <v>25</v>
      </c>
      <c r="B54" s="13"/>
      <c r="F54" s="50"/>
      <c r="G54" s="45">
        <v>1</v>
      </c>
      <c r="H54" s="411"/>
      <c r="J54" s="50"/>
      <c r="K54" s="18">
        <v>1</v>
      </c>
      <c r="L54" s="411"/>
      <c r="N54" s="50"/>
      <c r="O54" s="187">
        <v>0</v>
      </c>
      <c r="P54" s="411"/>
      <c r="R54" s="163"/>
    </row>
    <row r="55" spans="1:18" x14ac:dyDescent="0.25">
      <c r="A55" s="20" t="s">
        <v>27</v>
      </c>
      <c r="B55" s="21"/>
      <c r="F55" s="428" t="s">
        <v>54</v>
      </c>
      <c r="G55" s="429">
        <f>+ROUND(G52*G54*$B$113/(LOOKUP(G53,$A$79:$A$113,$B$79:$B$113)),0)</f>
        <v>3595254452</v>
      </c>
      <c r="H55" s="26">
        <f>IFERROR(ROUND(G55/$B$113,2),"")</f>
        <v>4095.74</v>
      </c>
      <c r="J55" s="428" t="s">
        <v>54</v>
      </c>
      <c r="K55" s="429">
        <f>+ROUND(K52*K54*$B$113/(LOOKUP(K53,$A$79:$A$113,$B$79:$B$113)),0)</f>
        <v>566141044</v>
      </c>
      <c r="L55" s="26">
        <f>IFERROR(ROUND(K55/$B$113,2),"")</f>
        <v>644.95000000000005</v>
      </c>
      <c r="N55" s="428" t="s">
        <v>54</v>
      </c>
      <c r="O55" s="429">
        <f>+ROUND(O52*O54*$B$113/(LOOKUP(O53,$A$79:$A$113,$B$79:$B$113)),0)</f>
        <v>0</v>
      </c>
      <c r="P55" s="26">
        <f>IFERROR(ROUND(O55/$B$113,2),"")</f>
        <v>0</v>
      </c>
      <c r="R55" s="24"/>
    </row>
    <row r="57" spans="1:18" ht="15.75" x14ac:dyDescent="0.25">
      <c r="A57" s="32" t="s">
        <v>35</v>
      </c>
    </row>
    <row r="58" spans="1:18" x14ac:dyDescent="0.25">
      <c r="A58" s="39"/>
    </row>
    <row r="59" spans="1:18" ht="15.75" x14ac:dyDescent="0.25">
      <c r="A59" s="41"/>
    </row>
    <row r="60" spans="1:18" ht="15.75" x14ac:dyDescent="0.25">
      <c r="A60" s="42" t="s">
        <v>36</v>
      </c>
    </row>
    <row r="61" spans="1:18" ht="15.75" x14ac:dyDescent="0.25">
      <c r="A61" s="43" t="s">
        <v>391</v>
      </c>
    </row>
    <row r="62" spans="1:18" s="2" customFormat="1" ht="15.75" x14ac:dyDescent="0.25">
      <c r="A62" s="43"/>
      <c r="I62"/>
      <c r="M62"/>
      <c r="Q62"/>
    </row>
    <row r="63" spans="1:18" s="2" customFormat="1" ht="15.75" x14ac:dyDescent="0.25">
      <c r="A63" s="43"/>
      <c r="I63"/>
      <c r="M63"/>
      <c r="Q63"/>
    </row>
    <row r="64" spans="1:18" s="2" customFormat="1" ht="15.75" x14ac:dyDescent="0.25">
      <c r="A64" s="42" t="s">
        <v>819</v>
      </c>
      <c r="I64"/>
      <c r="M64"/>
      <c r="Q64"/>
    </row>
    <row r="65" spans="1:17" s="2" customFormat="1" ht="15.75" x14ac:dyDescent="0.25">
      <c r="A65" s="43" t="s">
        <v>391</v>
      </c>
      <c r="I65"/>
      <c r="M65"/>
      <c r="Q65"/>
    </row>
    <row r="66" spans="1:17" s="2" customFormat="1" x14ac:dyDescent="0.25">
      <c r="A66" s="39"/>
      <c r="I66"/>
      <c r="M66"/>
      <c r="Q66"/>
    </row>
    <row r="67" spans="1:17" s="2" customFormat="1" x14ac:dyDescent="0.25">
      <c r="A67" s="39"/>
      <c r="I67"/>
      <c r="M67"/>
      <c r="Q67"/>
    </row>
    <row r="68" spans="1:17" s="2" customFormat="1" ht="15.75" x14ac:dyDescent="0.25">
      <c r="A68" s="42" t="s">
        <v>392</v>
      </c>
      <c r="I68"/>
      <c r="M68"/>
      <c r="Q68"/>
    </row>
    <row r="69" spans="1:17" s="2" customFormat="1" ht="15.75" x14ac:dyDescent="0.25">
      <c r="A69" s="43" t="s">
        <v>391</v>
      </c>
      <c r="I69"/>
      <c r="M69"/>
      <c r="Q69"/>
    </row>
    <row r="70" spans="1:17" s="2" customFormat="1" ht="15.75" x14ac:dyDescent="0.25">
      <c r="A70" s="43"/>
      <c r="I70"/>
      <c r="M70"/>
      <c r="Q70"/>
    </row>
    <row r="71" spans="1:17" s="2" customFormat="1" ht="15.75" x14ac:dyDescent="0.25">
      <c r="A71" s="43"/>
      <c r="I71"/>
      <c r="M71"/>
      <c r="Q71"/>
    </row>
    <row r="72" spans="1:17" s="2" customFormat="1" ht="15.75" x14ac:dyDescent="0.25">
      <c r="A72" s="42" t="s">
        <v>37</v>
      </c>
      <c r="I72"/>
      <c r="M72"/>
      <c r="Q72"/>
    </row>
    <row r="73" spans="1:17" s="2" customFormat="1" ht="15.75" x14ac:dyDescent="0.25">
      <c r="A73" s="43" t="s">
        <v>38</v>
      </c>
      <c r="I73"/>
      <c r="M73"/>
      <c r="Q73"/>
    </row>
    <row r="74" spans="1:17" s="2" customFormat="1" ht="15.75" x14ac:dyDescent="0.25">
      <c r="A74" s="43" t="s">
        <v>39</v>
      </c>
      <c r="I74"/>
      <c r="M74"/>
      <c r="Q74"/>
    </row>
    <row r="79" spans="1:17" s="2" customFormat="1" ht="16.5" x14ac:dyDescent="0.3">
      <c r="A79" s="28">
        <v>1986</v>
      </c>
      <c r="B79" s="89">
        <v>16811</v>
      </c>
      <c r="I79"/>
      <c r="M79"/>
      <c r="Q79"/>
    </row>
    <row r="80" spans="1:17" s="2" customFormat="1" ht="16.5" x14ac:dyDescent="0.3">
      <c r="A80" s="28">
        <v>1987</v>
      </c>
      <c r="B80" s="89">
        <v>20510</v>
      </c>
      <c r="I80"/>
      <c r="M80"/>
      <c r="Q80"/>
    </row>
    <row r="81" spans="1:17" s="2" customFormat="1" ht="16.5" x14ac:dyDescent="0.3">
      <c r="A81" s="28">
        <v>1988</v>
      </c>
      <c r="B81" s="89">
        <v>25637</v>
      </c>
      <c r="I81"/>
      <c r="M81"/>
      <c r="Q81"/>
    </row>
    <row r="82" spans="1:17" s="2" customFormat="1" ht="16.5" x14ac:dyDescent="0.3">
      <c r="A82" s="28">
        <v>1989</v>
      </c>
      <c r="B82" s="89">
        <v>32560</v>
      </c>
      <c r="I82"/>
      <c r="M82"/>
      <c r="Q82"/>
    </row>
    <row r="83" spans="1:17" s="2" customFormat="1" ht="16.5" x14ac:dyDescent="0.3">
      <c r="A83" s="28">
        <v>1990</v>
      </c>
      <c r="B83" s="89">
        <v>41025</v>
      </c>
      <c r="I83"/>
      <c r="M83"/>
      <c r="Q83"/>
    </row>
    <row r="84" spans="1:17" s="2" customFormat="1" ht="16.5" x14ac:dyDescent="0.3">
      <c r="A84" s="28">
        <v>1991</v>
      </c>
      <c r="B84" s="89">
        <v>51716</v>
      </c>
      <c r="I84"/>
      <c r="M84"/>
      <c r="Q84"/>
    </row>
    <row r="85" spans="1:17" s="2" customFormat="1" ht="16.5" x14ac:dyDescent="0.3">
      <c r="A85" s="28">
        <v>1992</v>
      </c>
      <c r="B85" s="89">
        <v>65190</v>
      </c>
      <c r="I85"/>
      <c r="M85"/>
      <c r="Q85"/>
    </row>
    <row r="86" spans="1:17" s="2" customFormat="1" ht="16.5" x14ac:dyDescent="0.3">
      <c r="A86" s="28">
        <v>1993</v>
      </c>
      <c r="B86" s="89">
        <v>81510</v>
      </c>
      <c r="I86"/>
      <c r="M86"/>
      <c r="Q86"/>
    </row>
    <row r="87" spans="1:17" s="2" customFormat="1" ht="16.5" x14ac:dyDescent="0.3">
      <c r="A87" s="28">
        <v>1994</v>
      </c>
      <c r="B87" s="89">
        <v>98700</v>
      </c>
      <c r="I87"/>
      <c r="M87"/>
      <c r="Q87"/>
    </row>
    <row r="88" spans="1:17" s="2" customFormat="1" ht="16.5" x14ac:dyDescent="0.3">
      <c r="A88" s="28">
        <v>1995</v>
      </c>
      <c r="B88" s="89">
        <v>118934</v>
      </c>
      <c r="I88"/>
      <c r="M88"/>
      <c r="Q88"/>
    </row>
    <row r="89" spans="1:17" s="2" customFormat="1" ht="16.5" x14ac:dyDescent="0.3">
      <c r="A89" s="28">
        <v>1996</v>
      </c>
      <c r="B89" s="89">
        <v>142125</v>
      </c>
      <c r="I89"/>
      <c r="M89"/>
      <c r="Q89"/>
    </row>
    <row r="90" spans="1:17" s="2" customFormat="1" ht="16.5" x14ac:dyDescent="0.3">
      <c r="A90" s="28">
        <v>1997</v>
      </c>
      <c r="B90" s="89">
        <v>172005</v>
      </c>
      <c r="I90"/>
      <c r="M90"/>
      <c r="Q90"/>
    </row>
    <row r="91" spans="1:17" s="2" customFormat="1" ht="16.5" x14ac:dyDescent="0.3">
      <c r="A91" s="28">
        <v>1998</v>
      </c>
      <c r="B91" s="89">
        <v>203826</v>
      </c>
      <c r="I91"/>
      <c r="M91"/>
      <c r="Q91"/>
    </row>
    <row r="92" spans="1:17" s="2" customFormat="1" ht="16.5" x14ac:dyDescent="0.3">
      <c r="A92" s="28">
        <v>1999</v>
      </c>
      <c r="B92" s="89">
        <v>236460</v>
      </c>
      <c r="I92"/>
      <c r="M92"/>
      <c r="Q92"/>
    </row>
    <row r="93" spans="1:17" s="2" customFormat="1" ht="16.5" x14ac:dyDescent="0.3">
      <c r="A93" s="28">
        <v>2000</v>
      </c>
      <c r="B93" s="89">
        <v>260100</v>
      </c>
      <c r="I93"/>
      <c r="M93"/>
      <c r="Q93"/>
    </row>
    <row r="94" spans="1:17" s="2" customFormat="1" ht="16.5" x14ac:dyDescent="0.3">
      <c r="A94" s="28">
        <v>2001</v>
      </c>
      <c r="B94" s="89">
        <v>286000</v>
      </c>
      <c r="I94"/>
      <c r="M94"/>
      <c r="Q94"/>
    </row>
    <row r="95" spans="1:17" s="2" customFormat="1" ht="16.5" x14ac:dyDescent="0.3">
      <c r="A95" s="28">
        <v>2002</v>
      </c>
      <c r="B95" s="89">
        <v>309000</v>
      </c>
      <c r="I95"/>
      <c r="M95"/>
      <c r="Q95"/>
    </row>
    <row r="96" spans="1:17" s="2" customFormat="1" ht="16.5" x14ac:dyDescent="0.3">
      <c r="A96" s="28">
        <v>2003</v>
      </c>
      <c r="B96" s="89">
        <v>332000</v>
      </c>
      <c r="I96"/>
      <c r="M96"/>
      <c r="Q96"/>
    </row>
    <row r="97" spans="1:17" s="2" customFormat="1" ht="16.5" x14ac:dyDescent="0.3">
      <c r="A97" s="28">
        <v>2004</v>
      </c>
      <c r="B97" s="89">
        <v>358000</v>
      </c>
      <c r="I97"/>
      <c r="M97"/>
      <c r="Q97"/>
    </row>
    <row r="98" spans="1:17" s="2" customFormat="1" ht="16.5" x14ac:dyDescent="0.3">
      <c r="A98" s="28">
        <v>2005</v>
      </c>
      <c r="B98" s="89">
        <v>381500</v>
      </c>
      <c r="I98"/>
      <c r="M98"/>
      <c r="Q98"/>
    </row>
    <row r="99" spans="1:17" s="2" customFormat="1" ht="16.5" x14ac:dyDescent="0.3">
      <c r="A99" s="28">
        <v>2006</v>
      </c>
      <c r="B99" s="89">
        <v>408000</v>
      </c>
      <c r="I99"/>
      <c r="M99"/>
      <c r="Q99"/>
    </row>
    <row r="100" spans="1:17" s="2" customFormat="1" ht="16.5" x14ac:dyDescent="0.3">
      <c r="A100" s="28">
        <v>2007</v>
      </c>
      <c r="B100" s="89">
        <v>433700</v>
      </c>
      <c r="I100"/>
      <c r="M100"/>
      <c r="Q100"/>
    </row>
    <row r="101" spans="1:17" s="2" customFormat="1" ht="16.5" x14ac:dyDescent="0.3">
      <c r="A101" s="28">
        <v>2008</v>
      </c>
      <c r="B101" s="89">
        <v>461500</v>
      </c>
      <c r="I101"/>
      <c r="M101"/>
      <c r="Q101"/>
    </row>
    <row r="102" spans="1:17" s="2" customFormat="1" ht="16.5" x14ac:dyDescent="0.3">
      <c r="A102" s="28">
        <v>2009</v>
      </c>
      <c r="B102" s="89">
        <v>496900</v>
      </c>
      <c r="I102"/>
      <c r="M102"/>
      <c r="Q102"/>
    </row>
    <row r="103" spans="1:17" s="2" customFormat="1" ht="16.5" x14ac:dyDescent="0.3">
      <c r="A103" s="28">
        <v>2010</v>
      </c>
      <c r="B103" s="89">
        <v>515000</v>
      </c>
      <c r="I103"/>
      <c r="M103"/>
      <c r="Q103"/>
    </row>
    <row r="104" spans="1:17" s="2" customFormat="1" ht="16.5" x14ac:dyDescent="0.3">
      <c r="A104" s="28">
        <v>2011</v>
      </c>
      <c r="B104" s="89">
        <v>535600</v>
      </c>
      <c r="I104"/>
      <c r="M104"/>
      <c r="Q104"/>
    </row>
    <row r="105" spans="1:17" s="2" customFormat="1" ht="16.5" x14ac:dyDescent="0.3">
      <c r="A105" s="28">
        <v>2012</v>
      </c>
      <c r="B105" s="89">
        <v>566700</v>
      </c>
      <c r="I105"/>
      <c r="M105"/>
      <c r="Q105"/>
    </row>
    <row r="106" spans="1:17" s="2" customFormat="1" ht="16.5" x14ac:dyDescent="0.3">
      <c r="A106" s="28">
        <v>2013</v>
      </c>
      <c r="B106" s="89">
        <v>589500</v>
      </c>
      <c r="I106"/>
      <c r="M106"/>
      <c r="Q106"/>
    </row>
    <row r="107" spans="1:17" s="2" customFormat="1" ht="16.5" x14ac:dyDescent="0.3">
      <c r="A107" s="28">
        <v>2014</v>
      </c>
      <c r="B107" s="89">
        <v>616000</v>
      </c>
      <c r="I107"/>
      <c r="M107"/>
      <c r="Q107"/>
    </row>
    <row r="108" spans="1:17" s="2" customFormat="1" ht="16.5" x14ac:dyDescent="0.3">
      <c r="A108" s="28">
        <v>2015</v>
      </c>
      <c r="B108" s="89">
        <v>644350</v>
      </c>
      <c r="I108"/>
      <c r="M108"/>
      <c r="Q108"/>
    </row>
    <row r="109" spans="1:17" s="2" customFormat="1" ht="16.5" x14ac:dyDescent="0.3">
      <c r="A109" s="28">
        <v>2016</v>
      </c>
      <c r="B109" s="89">
        <v>689454</v>
      </c>
      <c r="I109"/>
      <c r="M109"/>
      <c r="Q109"/>
    </row>
    <row r="110" spans="1:17" s="2" customFormat="1" ht="16.5" x14ac:dyDescent="0.3">
      <c r="A110" s="28">
        <v>2017</v>
      </c>
      <c r="B110" s="89">
        <v>737717</v>
      </c>
      <c r="I110"/>
      <c r="M110"/>
      <c r="Q110"/>
    </row>
    <row r="111" spans="1:17" s="2" customFormat="1" ht="16.5" x14ac:dyDescent="0.3">
      <c r="A111" s="28">
        <v>2018</v>
      </c>
      <c r="B111" s="89">
        <v>781242</v>
      </c>
      <c r="I111"/>
      <c r="M111"/>
      <c r="Q111"/>
    </row>
    <row r="112" spans="1:17" s="2" customFormat="1" ht="16.5" x14ac:dyDescent="0.3">
      <c r="A112" s="28">
        <v>2019</v>
      </c>
      <c r="B112" s="89">
        <v>828116</v>
      </c>
      <c r="I112"/>
      <c r="M112"/>
      <c r="Q112"/>
    </row>
    <row r="113" spans="1:17" s="2" customFormat="1" ht="16.5" x14ac:dyDescent="0.3">
      <c r="A113" s="28">
        <v>2020</v>
      </c>
      <c r="B113" s="89">
        <v>877803</v>
      </c>
      <c r="I113"/>
      <c r="M113"/>
      <c r="Q113"/>
    </row>
  </sheetData>
  <mergeCells count="5">
    <mergeCell ref="A9:B9"/>
    <mergeCell ref="H39:H40"/>
    <mergeCell ref="A1:B2"/>
    <mergeCell ref="A4:B4"/>
    <mergeCell ref="A7:B7"/>
  </mergeCells>
  <conditionalFormatting sqref="H7">
    <cfRule type="cellIs" dxfId="156" priority="36" operator="equal">
      <formula>"CUMPLE"</formula>
    </cfRule>
    <cfRule type="cellIs" dxfId="155" priority="67" operator="equal">
      <formula>"NO CUMPLE"</formula>
    </cfRule>
  </conditionalFormatting>
  <conditionalFormatting sqref="L6">
    <cfRule type="cellIs" dxfId="154" priority="60" operator="equal">
      <formula>"NO CUMPLE"</formula>
    </cfRule>
  </conditionalFormatting>
  <conditionalFormatting sqref="P6">
    <cfRule type="cellIs" dxfId="153" priority="59" operator="equal">
      <formula>"NO CUMPLE"</formula>
    </cfRule>
  </conditionalFormatting>
  <conditionalFormatting sqref="L8">
    <cfRule type="cellIs" dxfId="152" priority="58" operator="equal">
      <formula>"NO CUMPLE"</formula>
    </cfRule>
  </conditionalFormatting>
  <conditionalFormatting sqref="L8">
    <cfRule type="cellIs" dxfId="151" priority="57" operator="equal">
      <formula>"NO"</formula>
    </cfRule>
  </conditionalFormatting>
  <conditionalFormatting sqref="P8">
    <cfRule type="cellIs" dxfId="150" priority="56" operator="equal">
      <formula>"NO CUMPLE"</formula>
    </cfRule>
  </conditionalFormatting>
  <conditionalFormatting sqref="P8">
    <cfRule type="cellIs" dxfId="149" priority="55" operator="equal">
      <formula>"NO"</formula>
    </cfRule>
  </conditionalFormatting>
  <conditionalFormatting sqref="R4">
    <cfRule type="cellIs" dxfId="148" priority="54" operator="equal">
      <formula>"NO CUMPLE"</formula>
    </cfRule>
  </conditionalFormatting>
  <conditionalFormatting sqref="R6">
    <cfRule type="cellIs" dxfId="147" priority="51" operator="equal">
      <formula>"NO CUMPLE"</formula>
    </cfRule>
  </conditionalFormatting>
  <conditionalFormatting sqref="R7:R8">
    <cfRule type="cellIs" dxfId="146" priority="50" operator="equal">
      <formula>"NO CUMPLE"</formula>
    </cfRule>
  </conditionalFormatting>
  <conditionalFormatting sqref="R7:R8">
    <cfRule type="cellIs" dxfId="145" priority="49" operator="equal">
      <formula>"NO"</formula>
    </cfRule>
  </conditionalFormatting>
  <conditionalFormatting sqref="R5">
    <cfRule type="cellIs" dxfId="144" priority="46" operator="equal">
      <formula>"NO"</formula>
    </cfRule>
  </conditionalFormatting>
  <conditionalFormatting sqref="H4">
    <cfRule type="cellIs" dxfId="143" priority="63" operator="equal">
      <formula>"NO CUMPLE"</formula>
    </cfRule>
    <cfRule type="cellIs" dxfId="142" priority="64" operator="equal">
      <formula>"CUMPLE"</formula>
    </cfRule>
  </conditionalFormatting>
  <conditionalFormatting sqref="L4">
    <cfRule type="cellIs" dxfId="141" priority="43" operator="equal">
      <formula>"NO CUMPLE"</formula>
    </cfRule>
    <cfRule type="cellIs" dxfId="140" priority="44" operator="equal">
      <formula>"CUMPLE"</formula>
    </cfRule>
  </conditionalFormatting>
  <conditionalFormatting sqref="P4">
    <cfRule type="cellIs" dxfId="139" priority="41" operator="equal">
      <formula>"NO CUMPLE"</formula>
    </cfRule>
    <cfRule type="cellIs" dxfId="138" priority="42" operator="equal">
      <formula>"CUMPLE"</formula>
    </cfRule>
  </conditionalFormatting>
  <conditionalFormatting sqref="R9">
    <cfRule type="cellIs" dxfId="137" priority="29" operator="equal">
      <formula>"NO CUMPLE"</formula>
    </cfRule>
  </conditionalFormatting>
  <conditionalFormatting sqref="R9">
    <cfRule type="cellIs" dxfId="136" priority="28" operator="equal">
      <formula>"NO"</formula>
    </cfRule>
  </conditionalFormatting>
  <conditionalFormatting sqref="L9">
    <cfRule type="cellIs" dxfId="135" priority="3" operator="equal">
      <formula>"CUMPLE"</formula>
    </cfRule>
    <cfRule type="cellIs" dxfId="134" priority="4" operator="equal">
      <formula>"NO CUMPLE"</formula>
    </cfRule>
  </conditionalFormatting>
  <conditionalFormatting sqref="L7">
    <cfRule type="cellIs" dxfId="133" priority="9" operator="equal">
      <formula>"CUMPLE"</formula>
    </cfRule>
    <cfRule type="cellIs" dxfId="132" priority="10" operator="equal">
      <formula>"NO CUMPLE"</formula>
    </cfRule>
  </conditionalFormatting>
  <conditionalFormatting sqref="P7">
    <cfRule type="cellIs" dxfId="131" priority="7" operator="equal">
      <formula>"CUMPLE"</formula>
    </cfRule>
    <cfRule type="cellIs" dxfId="130" priority="8" operator="equal">
      <formula>"NO CUMPLE"</formula>
    </cfRule>
  </conditionalFormatting>
  <conditionalFormatting sqref="H9">
    <cfRule type="cellIs" dxfId="129" priority="5" operator="equal">
      <formula>"CUMPLE"</formula>
    </cfRule>
    <cfRule type="cellIs" dxfId="128" priority="6" operator="equal">
      <formula>"NO CUMPLE"</formula>
    </cfRule>
  </conditionalFormatting>
  <conditionalFormatting sqref="P9">
    <cfRule type="cellIs" dxfId="127" priority="1" operator="equal">
      <formula>"CUMPLE"</formula>
    </cfRule>
    <cfRule type="cellIs" dxfId="126" priority="2" operator="equal">
      <formula>"NO CUMPLE"</formula>
    </cfRule>
  </conditionalFormatting>
  <pageMargins left="0.47244094488188981" right="0.47244094488188981" top="0.59055118110236227" bottom="0.59055118110236227" header="0.31496062992125984" footer="0.31496062992125984"/>
  <pageSetup scale="45" orientation="landscape"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186"/>
  <sheetViews>
    <sheetView view="pageBreakPreview" topLeftCell="A84" zoomScale="90" zoomScaleNormal="100" zoomScaleSheetLayoutView="90" workbookViewId="0">
      <selection activeCell="AI64" sqref="AI64"/>
    </sheetView>
  </sheetViews>
  <sheetFormatPr baseColWidth="10" defaultColWidth="5.140625" defaultRowHeight="15" x14ac:dyDescent="0.25"/>
  <cols>
    <col min="1" max="40" width="5.140625" style="368"/>
    <col min="41" max="41" width="3.7109375" style="368" customWidth="1"/>
    <col min="42" max="42" width="17" style="368" customWidth="1"/>
    <col min="43" max="43" width="11.85546875" style="368" customWidth="1"/>
    <col min="44" max="44" width="11.5703125" style="368" customWidth="1"/>
    <col min="45" max="45" width="9.85546875" style="368" bestFit="1" customWidth="1"/>
    <col min="46" max="16384" width="5.140625" style="368"/>
  </cols>
  <sheetData>
    <row r="1" spans="1:40" ht="18.75" x14ac:dyDescent="0.25">
      <c r="A1" s="514" t="s">
        <v>28</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c r="AI1" s="514"/>
      <c r="AJ1" s="514"/>
      <c r="AK1" s="514"/>
      <c r="AL1" s="514"/>
      <c r="AM1" s="514"/>
      <c r="AN1" s="514"/>
    </row>
    <row r="2" spans="1:40" ht="18.75" x14ac:dyDescent="0.25">
      <c r="A2" s="514" t="s">
        <v>29</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514"/>
    </row>
    <row r="3" spans="1:40" ht="18.75" x14ac:dyDescent="0.25">
      <c r="A3" s="514"/>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514"/>
    </row>
    <row r="4" spans="1:40" ht="18.75" x14ac:dyDescent="0.25">
      <c r="A4" s="514" t="str">
        <f>+'VERIFICACIÓN TÉCNICA'!A4</f>
        <v>CONVOCATORIA PÚBLICA N° 013 DE 2020</v>
      </c>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row>
    <row r="5" spans="1:40" ht="18.75" x14ac:dyDescent="0.25">
      <c r="A5" s="514" t="s">
        <v>766</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row>
    <row r="6" spans="1:40" ht="18.75" x14ac:dyDescent="0.25">
      <c r="A6" s="514"/>
      <c r="B6" s="514"/>
      <c r="C6" s="514"/>
      <c r="D6" s="514"/>
      <c r="E6" s="514"/>
      <c r="F6" s="514"/>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4"/>
      <c r="AK6" s="514"/>
      <c r="AL6" s="514"/>
      <c r="AM6" s="514"/>
      <c r="AN6" s="514"/>
    </row>
    <row r="7" spans="1:40" ht="42.75" customHeight="1" x14ac:dyDescent="0.25">
      <c r="A7" s="529" t="str">
        <f>+'VERIFICACIÓN TÉCNICA'!A7</f>
        <v xml:space="preserve">OBJETO: CONSTRUCCIÓN DE OBRAS PARA EL MEJORAMIENTO DE LAS CONDICIONES DEL CENTRO DEPORTIVO UNIVERSITARIO TULCÁN DE LA UNIVERSIDAD DEL CAUCA EN EL MUNICIPIO DE POPAYÁN, DEPARTAMENTO DEL CAUCA. </v>
      </c>
      <c r="B7" s="529"/>
      <c r="C7" s="529"/>
      <c r="D7" s="529"/>
      <c r="E7" s="529"/>
      <c r="F7" s="529"/>
      <c r="G7" s="529"/>
      <c r="H7" s="529"/>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29"/>
      <c r="AK7" s="529"/>
      <c r="AL7" s="529"/>
      <c r="AM7" s="529"/>
      <c r="AN7" s="529"/>
    </row>
    <row r="9" spans="1:40" x14ac:dyDescent="0.25">
      <c r="A9" s="530" t="s">
        <v>767</v>
      </c>
      <c r="B9" s="530"/>
      <c r="C9" s="530"/>
      <c r="D9" s="530"/>
      <c r="E9" s="530"/>
      <c r="F9" s="530"/>
      <c r="G9" s="530"/>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530"/>
      <c r="AH9" s="530"/>
      <c r="AI9" s="530"/>
      <c r="AJ9" s="530"/>
      <c r="AK9" s="530"/>
      <c r="AL9" s="530"/>
      <c r="AM9" s="530"/>
      <c r="AN9" s="530"/>
    </row>
    <row r="10" spans="1:40" x14ac:dyDescent="0.25">
      <c r="A10" s="530">
        <v>1</v>
      </c>
      <c r="B10" s="530"/>
      <c r="C10" s="530"/>
      <c r="D10" s="530"/>
      <c r="E10" s="530"/>
      <c r="F10" s="530"/>
      <c r="G10" s="530"/>
      <c r="H10" s="530"/>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c r="AG10" s="530"/>
      <c r="AH10" s="530"/>
      <c r="AI10" s="530"/>
      <c r="AJ10" s="530"/>
      <c r="AK10" s="530"/>
      <c r="AL10" s="530"/>
      <c r="AM10" s="530"/>
      <c r="AN10" s="530"/>
    </row>
    <row r="11" spans="1:40" x14ac:dyDescent="0.25">
      <c r="A11" s="531" t="str">
        <f>+'VERIFICACIÓN TÉCNICA'!C10</f>
        <v>CONSORCIO TULCAN 2020</v>
      </c>
      <c r="B11" s="531"/>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row>
    <row r="12" spans="1:40" x14ac:dyDescent="0.25">
      <c r="A12" s="531" t="s">
        <v>807</v>
      </c>
      <c r="B12" s="531"/>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row>
    <row r="14" spans="1:40" s="369" customFormat="1" ht="30" customHeight="1" x14ac:dyDescent="0.25">
      <c r="A14" s="532" t="s">
        <v>768</v>
      </c>
      <c r="B14" s="532"/>
      <c r="C14" s="532"/>
      <c r="D14" s="532"/>
      <c r="E14" s="532"/>
      <c r="F14" s="532"/>
      <c r="G14" s="532"/>
      <c r="H14" s="532"/>
      <c r="I14" s="533">
        <f>+VTE!$D$4</f>
        <v>7067912240</v>
      </c>
      <c r="J14" s="533"/>
      <c r="K14" s="533"/>
      <c r="L14" s="533"/>
      <c r="M14" s="533"/>
      <c r="N14" s="533"/>
      <c r="O14" s="534" t="s">
        <v>769</v>
      </c>
      <c r="P14" s="534"/>
      <c r="Q14" s="534"/>
      <c r="R14" s="534"/>
      <c r="S14" s="534"/>
      <c r="T14" s="534"/>
      <c r="U14" s="525">
        <v>12</v>
      </c>
      <c r="V14" s="525"/>
      <c r="W14" s="525"/>
      <c r="X14" s="525"/>
      <c r="Y14" s="525"/>
      <c r="Z14" s="525"/>
      <c r="AA14" s="534" t="s">
        <v>770</v>
      </c>
      <c r="AB14" s="534"/>
      <c r="AC14" s="534"/>
      <c r="AD14" s="534"/>
      <c r="AE14" s="534"/>
      <c r="AF14" s="534"/>
      <c r="AG14" s="534"/>
      <c r="AH14" s="534"/>
      <c r="AI14" s="524">
        <f>IF(U14&gt;12,(I14-I15)/U14*12,I14-I15)</f>
        <v>5654329792</v>
      </c>
      <c r="AJ14" s="524"/>
      <c r="AK14" s="524"/>
      <c r="AL14" s="524"/>
      <c r="AM14" s="524"/>
      <c r="AN14" s="524"/>
    </row>
    <row r="15" spans="1:40" s="369" customFormat="1" ht="30" customHeight="1" x14ac:dyDescent="0.25">
      <c r="A15" s="532" t="s">
        <v>771</v>
      </c>
      <c r="B15" s="532"/>
      <c r="C15" s="532"/>
      <c r="D15" s="532"/>
      <c r="E15" s="532"/>
      <c r="F15" s="532"/>
      <c r="G15" s="532"/>
      <c r="H15" s="532"/>
      <c r="I15" s="533">
        <f>+ROUND(0.2*I14,0)</f>
        <v>1413582448</v>
      </c>
      <c r="J15" s="533"/>
      <c r="K15" s="533"/>
      <c r="L15" s="533"/>
      <c r="M15" s="533"/>
      <c r="N15" s="533"/>
      <c r="O15" s="534" t="s">
        <v>772</v>
      </c>
      <c r="P15" s="534"/>
      <c r="Q15" s="534"/>
      <c r="R15" s="534"/>
      <c r="S15" s="534"/>
      <c r="T15" s="534"/>
      <c r="U15" s="533">
        <v>3723.67</v>
      </c>
      <c r="V15" s="533"/>
      <c r="W15" s="533"/>
      <c r="X15" s="533"/>
      <c r="Y15" s="533"/>
      <c r="Z15" s="533"/>
      <c r="AA15" s="525" t="s">
        <v>773</v>
      </c>
      <c r="AB15" s="525"/>
      <c r="AC15" s="525"/>
      <c r="AD15" s="525"/>
      <c r="AE15" s="525"/>
      <c r="AF15" s="525"/>
      <c r="AG15" s="525"/>
      <c r="AH15" s="525"/>
      <c r="AI15" s="526">
        <f>U15*125000</f>
        <v>465458750</v>
      </c>
      <c r="AJ15" s="527"/>
      <c r="AK15" s="527"/>
      <c r="AL15" s="527"/>
      <c r="AM15" s="527"/>
      <c r="AN15" s="528"/>
    </row>
    <row r="16" spans="1:40" s="374" customFormat="1" ht="7.5" customHeight="1" x14ac:dyDescent="0.25">
      <c r="A16" s="370"/>
      <c r="B16" s="370"/>
      <c r="C16" s="370"/>
      <c r="D16" s="370"/>
      <c r="E16" s="370"/>
      <c r="F16" s="370"/>
      <c r="G16" s="371"/>
      <c r="H16" s="371"/>
      <c r="I16" s="371"/>
      <c r="J16" s="371"/>
      <c r="K16" s="371"/>
      <c r="L16" s="371"/>
      <c r="M16" s="372"/>
      <c r="N16" s="372"/>
      <c r="O16" s="372"/>
      <c r="P16" s="372"/>
      <c r="Q16" s="372"/>
      <c r="R16" s="370"/>
      <c r="S16" s="372"/>
      <c r="T16" s="372"/>
      <c r="U16" s="372"/>
      <c r="V16" s="372"/>
      <c r="W16" s="372"/>
      <c r="X16" s="372"/>
      <c r="Y16" s="372"/>
      <c r="Z16" s="373"/>
      <c r="AA16" s="373"/>
      <c r="AB16" s="372"/>
      <c r="AC16" s="372"/>
      <c r="AD16" s="372"/>
      <c r="AE16" s="372"/>
      <c r="AF16" s="372"/>
      <c r="AG16" s="372"/>
      <c r="AH16" s="372"/>
      <c r="AI16" s="371"/>
      <c r="AJ16" s="371"/>
      <c r="AK16" s="371"/>
      <c r="AL16" s="371"/>
      <c r="AM16" s="371"/>
      <c r="AN16" s="371"/>
    </row>
    <row r="17" spans="1:44" s="376" customFormat="1" ht="75" customHeight="1" x14ac:dyDescent="0.25">
      <c r="A17" s="375" t="s">
        <v>774</v>
      </c>
      <c r="B17" s="525" t="s">
        <v>775</v>
      </c>
      <c r="C17" s="525"/>
      <c r="D17" s="525"/>
      <c r="E17" s="525"/>
      <c r="F17" s="525"/>
      <c r="G17" s="525"/>
      <c r="H17" s="525"/>
      <c r="I17" s="525"/>
      <c r="J17" s="535" t="s">
        <v>776</v>
      </c>
      <c r="K17" s="536"/>
      <c r="L17" s="537" t="s">
        <v>777</v>
      </c>
      <c r="M17" s="537"/>
      <c r="N17" s="537"/>
      <c r="O17" s="537"/>
      <c r="P17" s="537"/>
      <c r="Q17" s="538" t="s">
        <v>778</v>
      </c>
      <c r="R17" s="538"/>
      <c r="S17" s="534" t="s">
        <v>779</v>
      </c>
      <c r="T17" s="534"/>
      <c r="U17" s="538" t="s">
        <v>780</v>
      </c>
      <c r="V17" s="538"/>
      <c r="W17" s="515" t="s">
        <v>781</v>
      </c>
      <c r="X17" s="516"/>
      <c r="Y17" s="516"/>
      <c r="Z17" s="516"/>
      <c r="AA17" s="516"/>
      <c r="AB17" s="517"/>
      <c r="AC17" s="515" t="s">
        <v>782</v>
      </c>
      <c r="AD17" s="516"/>
      <c r="AE17" s="516"/>
      <c r="AF17" s="516"/>
      <c r="AG17" s="516"/>
      <c r="AH17" s="517"/>
      <c r="AI17" s="539" t="s">
        <v>783</v>
      </c>
      <c r="AJ17" s="539"/>
      <c r="AK17" s="539" t="s">
        <v>784</v>
      </c>
      <c r="AL17" s="539"/>
      <c r="AM17" s="539" t="s">
        <v>785</v>
      </c>
      <c r="AN17" s="539"/>
    </row>
    <row r="18" spans="1:44" s="369" customFormat="1" x14ac:dyDescent="0.25">
      <c r="A18" s="388">
        <v>1</v>
      </c>
      <c r="B18" s="534" t="s">
        <v>810</v>
      </c>
      <c r="C18" s="534"/>
      <c r="D18" s="534"/>
      <c r="E18" s="534"/>
      <c r="F18" s="534"/>
      <c r="G18" s="534"/>
      <c r="H18" s="534"/>
      <c r="I18" s="534"/>
      <c r="J18" s="546">
        <v>0.5</v>
      </c>
      <c r="K18" s="547"/>
      <c r="L18" s="548">
        <v>210156045928</v>
      </c>
      <c r="M18" s="548"/>
      <c r="N18" s="548"/>
      <c r="O18" s="548"/>
      <c r="P18" s="548"/>
      <c r="Q18" s="549">
        <f>+L18/(I$14*J18)</f>
        <v>59.467644416592243</v>
      </c>
      <c r="R18" s="550"/>
      <c r="S18" s="551">
        <v>18.86</v>
      </c>
      <c r="T18" s="551"/>
      <c r="U18" s="541">
        <v>12</v>
      </c>
      <c r="V18" s="541"/>
      <c r="W18" s="518">
        <v>31722220607</v>
      </c>
      <c r="X18" s="519"/>
      <c r="Y18" s="519"/>
      <c r="Z18" s="519"/>
      <c r="AA18" s="519"/>
      <c r="AB18" s="520"/>
      <c r="AC18" s="521">
        <f>+IF(W18&lt;AI$15,AI$15,W18)</f>
        <v>31722220607</v>
      </c>
      <c r="AD18" s="522"/>
      <c r="AE18" s="522"/>
      <c r="AF18" s="522"/>
      <c r="AG18" s="522"/>
      <c r="AH18" s="523"/>
      <c r="AI18" s="540">
        <f>IF(Q18&gt;=0,IF(Q18&lt;=3,60,IF(Q18&lt;=6,80,IF(Q18&lt;=10,100,120))))</f>
        <v>120</v>
      </c>
      <c r="AJ18" s="540"/>
      <c r="AK18" s="540">
        <f>IF(S18&gt;=0,IF(S18&lt;0.5,20,IF(S18&lt;0.75,25,IF(S18&lt;1,30,IF(S18&lt;1.5,35,40)))))</f>
        <v>40</v>
      </c>
      <c r="AL18" s="540"/>
      <c r="AM18" s="540">
        <f>IF(U18&gt;=1,IF(U18&lt;=5,20,IF(U18&lt;=10,30,40)))</f>
        <v>40</v>
      </c>
      <c r="AN18" s="540"/>
      <c r="AP18" s="408"/>
    </row>
    <row r="19" spans="1:44" s="369" customFormat="1" ht="32.25" customHeight="1" x14ac:dyDescent="0.25">
      <c r="A19" s="388">
        <v>2</v>
      </c>
      <c r="B19" s="534" t="s">
        <v>382</v>
      </c>
      <c r="C19" s="534"/>
      <c r="D19" s="534"/>
      <c r="E19" s="534"/>
      <c r="F19" s="534"/>
      <c r="G19" s="534"/>
      <c r="H19" s="534"/>
      <c r="I19" s="534"/>
      <c r="J19" s="546">
        <v>0.5</v>
      </c>
      <c r="K19" s="547"/>
      <c r="L19" s="548">
        <v>49725508713.860001</v>
      </c>
      <c r="M19" s="548"/>
      <c r="N19" s="548"/>
      <c r="O19" s="548"/>
      <c r="P19" s="548"/>
      <c r="Q19" s="549">
        <f>+L19/(I$14*J19)</f>
        <v>14.070777062693127</v>
      </c>
      <c r="R19" s="550"/>
      <c r="S19" s="551">
        <v>9</v>
      </c>
      <c r="T19" s="551"/>
      <c r="U19" s="541">
        <v>11</v>
      </c>
      <c r="V19" s="541"/>
      <c r="W19" s="518">
        <v>17486753000</v>
      </c>
      <c r="X19" s="519"/>
      <c r="Y19" s="519"/>
      <c r="Z19" s="519"/>
      <c r="AA19" s="519"/>
      <c r="AB19" s="520"/>
      <c r="AC19" s="521">
        <f>+IF(W19&lt;AI$15,AI$15,W19)</f>
        <v>17486753000</v>
      </c>
      <c r="AD19" s="522"/>
      <c r="AE19" s="522"/>
      <c r="AF19" s="522"/>
      <c r="AG19" s="522"/>
      <c r="AH19" s="523"/>
      <c r="AI19" s="540">
        <f>IF(Q19&gt;=0,IF(Q19&lt;=3,60,IF(Q19&lt;=6,80,IF(Q19&lt;=10,100,120))))</f>
        <v>120</v>
      </c>
      <c r="AJ19" s="540"/>
      <c r="AK19" s="540">
        <f>IF(S19&gt;=0,IF(S19&lt;0.5,20,IF(S19&lt;0.75,25,IF(S19&lt;1,30,IF(S19&lt;1.5,35,40)))))</f>
        <v>40</v>
      </c>
      <c r="AL19" s="540"/>
      <c r="AM19" s="540">
        <f>IF(U19&gt;=1,IF(U19&lt;=5,20,IF(U19&lt;=10,30,40)))</f>
        <v>40</v>
      </c>
      <c r="AN19" s="540"/>
      <c r="AP19" s="389"/>
    </row>
    <row r="20" spans="1:44" s="369" customFormat="1" x14ac:dyDescent="0.25">
      <c r="A20" s="388">
        <v>3</v>
      </c>
      <c r="B20" s="525"/>
      <c r="C20" s="525"/>
      <c r="D20" s="525"/>
      <c r="E20" s="525"/>
      <c r="F20" s="525"/>
      <c r="G20" s="525"/>
      <c r="H20" s="525"/>
      <c r="I20" s="525"/>
      <c r="J20" s="546"/>
      <c r="K20" s="547"/>
      <c r="L20" s="556"/>
      <c r="M20" s="556"/>
      <c r="N20" s="556"/>
      <c r="O20" s="556"/>
      <c r="P20" s="556"/>
      <c r="Q20" s="549"/>
      <c r="R20" s="550"/>
      <c r="S20" s="557"/>
      <c r="T20" s="557"/>
      <c r="U20" s="545"/>
      <c r="V20" s="545"/>
      <c r="W20" s="521"/>
      <c r="X20" s="522"/>
      <c r="Y20" s="522"/>
      <c r="Z20" s="522"/>
      <c r="AA20" s="522"/>
      <c r="AB20" s="523"/>
      <c r="AC20" s="542"/>
      <c r="AD20" s="543"/>
      <c r="AE20" s="543"/>
      <c r="AF20" s="543"/>
      <c r="AG20" s="543"/>
      <c r="AH20" s="544"/>
      <c r="AI20" s="540"/>
      <c r="AJ20" s="540"/>
      <c r="AK20" s="540"/>
      <c r="AL20" s="540"/>
      <c r="AM20" s="540"/>
      <c r="AN20" s="540"/>
      <c r="AP20" s="389"/>
    </row>
    <row r="21" spans="1:44" ht="15.75" thickBot="1" x14ac:dyDescent="0.3"/>
    <row r="22" spans="1:44" ht="15" customHeight="1" x14ac:dyDescent="0.25">
      <c r="A22" s="573" t="s">
        <v>786</v>
      </c>
      <c r="B22" s="559"/>
      <c r="C22" s="559"/>
      <c r="D22" s="559"/>
      <c r="E22" s="558" t="s">
        <v>787</v>
      </c>
      <c r="F22" s="559"/>
      <c r="G22" s="559"/>
      <c r="H22" s="576"/>
      <c r="I22" s="579" t="s">
        <v>788</v>
      </c>
      <c r="J22" s="580"/>
      <c r="K22" s="580"/>
      <c r="L22" s="580"/>
      <c r="M22" s="580"/>
      <c r="N22" s="580"/>
      <c r="O22" s="580"/>
      <c r="P22" s="581"/>
      <c r="Q22" s="579" t="s">
        <v>789</v>
      </c>
      <c r="R22" s="580"/>
      <c r="S22" s="580"/>
      <c r="T22" s="581"/>
      <c r="U22" s="558" t="s">
        <v>790</v>
      </c>
      <c r="V22" s="559"/>
      <c r="W22" s="564" t="s">
        <v>833</v>
      </c>
      <c r="X22" s="565"/>
      <c r="Y22" s="564" t="s">
        <v>921</v>
      </c>
      <c r="Z22" s="570"/>
      <c r="AA22" s="588" t="s">
        <v>791</v>
      </c>
      <c r="AB22" s="588"/>
      <c r="AC22" s="552" t="s">
        <v>792</v>
      </c>
      <c r="AD22" s="552"/>
      <c r="AE22" s="552"/>
      <c r="AF22" s="553" t="s">
        <v>793</v>
      </c>
      <c r="AG22" s="591" t="s">
        <v>817</v>
      </c>
      <c r="AH22" s="591"/>
      <c r="AI22" s="591"/>
      <c r="AJ22" s="591"/>
      <c r="AK22" s="591"/>
      <c r="AL22" s="591"/>
      <c r="AM22" s="591"/>
      <c r="AN22" s="592"/>
    </row>
    <row r="23" spans="1:44" ht="15" customHeight="1" x14ac:dyDescent="0.25">
      <c r="A23" s="574"/>
      <c r="B23" s="561"/>
      <c r="C23" s="561"/>
      <c r="D23" s="561"/>
      <c r="E23" s="560"/>
      <c r="F23" s="561"/>
      <c r="G23" s="561"/>
      <c r="H23" s="577"/>
      <c r="I23" s="582"/>
      <c r="J23" s="583"/>
      <c r="K23" s="583"/>
      <c r="L23" s="583"/>
      <c r="M23" s="583"/>
      <c r="N23" s="583"/>
      <c r="O23" s="583"/>
      <c r="P23" s="584"/>
      <c r="Q23" s="582"/>
      <c r="R23" s="583"/>
      <c r="S23" s="583"/>
      <c r="T23" s="584"/>
      <c r="U23" s="560"/>
      <c r="V23" s="561"/>
      <c r="W23" s="566"/>
      <c r="X23" s="567"/>
      <c r="Y23" s="566"/>
      <c r="Z23" s="571"/>
      <c r="AA23" s="534"/>
      <c r="AB23" s="534"/>
      <c r="AC23" s="525"/>
      <c r="AD23" s="525"/>
      <c r="AE23" s="525"/>
      <c r="AF23" s="554"/>
      <c r="AG23" s="593" t="s">
        <v>794</v>
      </c>
      <c r="AH23" s="596" t="s">
        <v>795</v>
      </c>
      <c r="AI23" s="596" t="s">
        <v>796</v>
      </c>
      <c r="AJ23" s="534" t="s">
        <v>797</v>
      </c>
      <c r="AK23" s="534"/>
      <c r="AL23" s="534"/>
      <c r="AM23" s="534"/>
      <c r="AN23" s="599"/>
    </row>
    <row r="24" spans="1:44" ht="15" customHeight="1" x14ac:dyDescent="0.25">
      <c r="A24" s="574"/>
      <c r="B24" s="561"/>
      <c r="C24" s="561"/>
      <c r="D24" s="561"/>
      <c r="E24" s="560"/>
      <c r="F24" s="561"/>
      <c r="G24" s="561"/>
      <c r="H24" s="577"/>
      <c r="I24" s="582"/>
      <c r="J24" s="583"/>
      <c r="K24" s="583"/>
      <c r="L24" s="583"/>
      <c r="M24" s="583"/>
      <c r="N24" s="583"/>
      <c r="O24" s="583"/>
      <c r="P24" s="584"/>
      <c r="Q24" s="582"/>
      <c r="R24" s="583"/>
      <c r="S24" s="583"/>
      <c r="T24" s="584"/>
      <c r="U24" s="560"/>
      <c r="V24" s="561"/>
      <c r="W24" s="566"/>
      <c r="X24" s="567"/>
      <c r="Y24" s="566"/>
      <c r="Z24" s="571"/>
      <c r="AA24" s="534"/>
      <c r="AB24" s="534"/>
      <c r="AC24" s="525"/>
      <c r="AD24" s="525"/>
      <c r="AE24" s="525"/>
      <c r="AF24" s="554"/>
      <c r="AG24" s="593"/>
      <c r="AH24" s="596"/>
      <c r="AI24" s="596"/>
      <c r="AJ24" s="534"/>
      <c r="AK24" s="534"/>
      <c r="AL24" s="534"/>
      <c r="AM24" s="534"/>
      <c r="AN24" s="599"/>
    </row>
    <row r="25" spans="1:44" ht="15" customHeight="1" x14ac:dyDescent="0.25">
      <c r="A25" s="574"/>
      <c r="B25" s="561"/>
      <c r="C25" s="561"/>
      <c r="D25" s="561"/>
      <c r="E25" s="560"/>
      <c r="F25" s="561"/>
      <c r="G25" s="561"/>
      <c r="H25" s="577"/>
      <c r="I25" s="582"/>
      <c r="J25" s="583"/>
      <c r="K25" s="583"/>
      <c r="L25" s="583"/>
      <c r="M25" s="583"/>
      <c r="N25" s="583"/>
      <c r="O25" s="583"/>
      <c r="P25" s="584"/>
      <c r="Q25" s="582"/>
      <c r="R25" s="583"/>
      <c r="S25" s="583"/>
      <c r="T25" s="584"/>
      <c r="U25" s="560"/>
      <c r="V25" s="561"/>
      <c r="W25" s="566"/>
      <c r="X25" s="567"/>
      <c r="Y25" s="566"/>
      <c r="Z25" s="571"/>
      <c r="AA25" s="534"/>
      <c r="AB25" s="534"/>
      <c r="AC25" s="602" t="s">
        <v>798</v>
      </c>
      <c r="AD25" s="602" t="s">
        <v>799</v>
      </c>
      <c r="AE25" s="602" t="s">
        <v>800</v>
      </c>
      <c r="AF25" s="554"/>
      <c r="AG25" s="593"/>
      <c r="AH25" s="596"/>
      <c r="AI25" s="596"/>
      <c r="AJ25" s="534"/>
      <c r="AK25" s="534"/>
      <c r="AL25" s="534"/>
      <c r="AM25" s="534"/>
      <c r="AN25" s="599"/>
    </row>
    <row r="26" spans="1:44" ht="15" customHeight="1" x14ac:dyDescent="0.25">
      <c r="A26" s="574"/>
      <c r="B26" s="561"/>
      <c r="C26" s="561"/>
      <c r="D26" s="561"/>
      <c r="E26" s="560"/>
      <c r="F26" s="561"/>
      <c r="G26" s="561"/>
      <c r="H26" s="577"/>
      <c r="I26" s="582"/>
      <c r="J26" s="583"/>
      <c r="K26" s="583"/>
      <c r="L26" s="583"/>
      <c r="M26" s="583"/>
      <c r="N26" s="583"/>
      <c r="O26" s="583"/>
      <c r="P26" s="584"/>
      <c r="Q26" s="582"/>
      <c r="R26" s="583"/>
      <c r="S26" s="583"/>
      <c r="T26" s="584"/>
      <c r="U26" s="560"/>
      <c r="V26" s="561"/>
      <c r="W26" s="566"/>
      <c r="X26" s="567"/>
      <c r="Y26" s="566"/>
      <c r="Z26" s="571"/>
      <c r="AA26" s="589"/>
      <c r="AB26" s="589"/>
      <c r="AC26" s="603"/>
      <c r="AD26" s="603"/>
      <c r="AE26" s="603"/>
      <c r="AF26" s="554"/>
      <c r="AG26" s="594"/>
      <c r="AH26" s="597"/>
      <c r="AI26" s="597"/>
      <c r="AJ26" s="589"/>
      <c r="AK26" s="589"/>
      <c r="AL26" s="589"/>
      <c r="AM26" s="589"/>
      <c r="AN26" s="600"/>
    </row>
    <row r="27" spans="1:44" ht="15.75" thickBot="1" x14ac:dyDescent="0.3">
      <c r="A27" s="575"/>
      <c r="B27" s="563"/>
      <c r="C27" s="563"/>
      <c r="D27" s="563"/>
      <c r="E27" s="562"/>
      <c r="F27" s="563"/>
      <c r="G27" s="563"/>
      <c r="H27" s="578"/>
      <c r="I27" s="585"/>
      <c r="J27" s="586"/>
      <c r="K27" s="586"/>
      <c r="L27" s="586"/>
      <c r="M27" s="586"/>
      <c r="N27" s="586"/>
      <c r="O27" s="586"/>
      <c r="P27" s="587"/>
      <c r="Q27" s="585"/>
      <c r="R27" s="586"/>
      <c r="S27" s="586"/>
      <c r="T27" s="587"/>
      <c r="U27" s="562"/>
      <c r="V27" s="563"/>
      <c r="W27" s="568"/>
      <c r="X27" s="569"/>
      <c r="Y27" s="568"/>
      <c r="Z27" s="572"/>
      <c r="AA27" s="590"/>
      <c r="AB27" s="590"/>
      <c r="AC27" s="604"/>
      <c r="AD27" s="604"/>
      <c r="AE27" s="604"/>
      <c r="AF27" s="555"/>
      <c r="AG27" s="595"/>
      <c r="AH27" s="598"/>
      <c r="AI27" s="598"/>
      <c r="AJ27" s="590"/>
      <c r="AK27" s="590"/>
      <c r="AL27" s="590"/>
      <c r="AM27" s="590"/>
      <c r="AN27" s="601"/>
    </row>
    <row r="28" spans="1:44" s="374" customFormat="1" x14ac:dyDescent="0.25">
      <c r="A28" s="378" t="s">
        <v>801</v>
      </c>
      <c r="B28" s="370"/>
      <c r="C28" s="370"/>
      <c r="D28" s="370"/>
      <c r="E28" s="379"/>
      <c r="F28" s="379"/>
      <c r="G28" s="379"/>
      <c r="H28" s="378" t="str">
        <f>+B18</f>
        <v>FERNANDO JOSE CASTRO SPADAFFORA</v>
      </c>
      <c r="I28" s="370"/>
      <c r="J28" s="370"/>
      <c r="K28" s="370"/>
      <c r="L28" s="370"/>
      <c r="M28" s="370"/>
      <c r="N28" s="370"/>
      <c r="O28" s="370"/>
      <c r="P28" s="370"/>
      <c r="Q28" s="370"/>
      <c r="R28" s="370"/>
      <c r="S28" s="379"/>
      <c r="T28" s="379"/>
      <c r="U28" s="379"/>
      <c r="V28" s="379"/>
      <c r="W28" s="379"/>
      <c r="X28" s="379"/>
      <c r="Y28" s="379"/>
      <c r="Z28" s="379"/>
      <c r="AA28" s="379"/>
      <c r="AB28" s="379"/>
      <c r="AC28" s="380"/>
      <c r="AD28" s="380"/>
      <c r="AE28" s="380"/>
      <c r="AF28" s="381"/>
      <c r="AG28" s="382"/>
      <c r="AH28" s="383"/>
      <c r="AI28" s="383"/>
      <c r="AJ28" s="379"/>
      <c r="AK28" s="379"/>
      <c r="AL28" s="379"/>
      <c r="AM28" s="379"/>
      <c r="AN28" s="379"/>
    </row>
    <row r="29" spans="1:44" ht="35.1" customHeight="1" x14ac:dyDescent="0.25">
      <c r="A29" s="509"/>
      <c r="B29" s="509"/>
      <c r="C29" s="509"/>
      <c r="D29" s="509"/>
      <c r="E29" s="509"/>
      <c r="F29" s="509"/>
      <c r="G29" s="509"/>
      <c r="H29" s="509"/>
      <c r="I29" s="509"/>
      <c r="J29" s="509"/>
      <c r="K29" s="509"/>
      <c r="L29" s="509"/>
      <c r="M29" s="509"/>
      <c r="N29" s="509"/>
      <c r="O29" s="509"/>
      <c r="P29" s="509"/>
      <c r="Q29" s="510">
        <v>6774258088</v>
      </c>
      <c r="R29" s="511"/>
      <c r="S29" s="511"/>
      <c r="T29" s="512"/>
      <c r="U29" s="506">
        <v>40241</v>
      </c>
      <c r="V29" s="506"/>
      <c r="W29" s="506">
        <v>41277</v>
      </c>
      <c r="X29" s="506"/>
      <c r="Y29" s="507">
        <v>2738</v>
      </c>
      <c r="Z29" s="507"/>
      <c r="AA29" s="507">
        <f>35*30</f>
        <v>1050</v>
      </c>
      <c r="AB29" s="507"/>
      <c r="AC29" s="384"/>
      <c r="AD29" s="384" t="s">
        <v>533</v>
      </c>
      <c r="AE29" s="384"/>
      <c r="AF29" s="385">
        <v>0.5</v>
      </c>
      <c r="AG29" s="385">
        <f>+AH29/AA29</f>
        <v>0.98666666666666669</v>
      </c>
      <c r="AH29" s="407">
        <f>+AP29-U29-Y29+1</f>
        <v>1036</v>
      </c>
      <c r="AI29" s="407">
        <f>+AA29-AH29</f>
        <v>14</v>
      </c>
      <c r="AJ29" s="513">
        <f>+ROUND((Q29/AA29)*AF29*AI29,0)</f>
        <v>45161721</v>
      </c>
      <c r="AK29" s="513"/>
      <c r="AL29" s="513"/>
      <c r="AM29" s="513"/>
      <c r="AN29" s="513"/>
      <c r="AP29" s="406">
        <v>44014</v>
      </c>
      <c r="AQ29" s="406"/>
      <c r="AR29" s="443"/>
    </row>
    <row r="30" spans="1:44" ht="35.1" customHeight="1" x14ac:dyDescent="0.25">
      <c r="A30" s="509"/>
      <c r="B30" s="509"/>
      <c r="C30" s="509"/>
      <c r="D30" s="509"/>
      <c r="E30" s="509"/>
      <c r="F30" s="509"/>
      <c r="G30" s="509"/>
      <c r="H30" s="509"/>
      <c r="I30" s="509"/>
      <c r="J30" s="509"/>
      <c r="K30" s="509"/>
      <c r="L30" s="509"/>
      <c r="M30" s="509"/>
      <c r="N30" s="509"/>
      <c r="O30" s="509"/>
      <c r="P30" s="509"/>
      <c r="Q30" s="510">
        <v>2145966533</v>
      </c>
      <c r="R30" s="511"/>
      <c r="S30" s="511"/>
      <c r="T30" s="512"/>
      <c r="U30" s="506">
        <v>40801</v>
      </c>
      <c r="V30" s="506"/>
      <c r="W30" s="506">
        <v>41365</v>
      </c>
      <c r="X30" s="506"/>
      <c r="Y30" s="507">
        <v>2650</v>
      </c>
      <c r="Z30" s="507"/>
      <c r="AA30" s="507">
        <f>19.8*30</f>
        <v>594</v>
      </c>
      <c r="AB30" s="507"/>
      <c r="AC30" s="384"/>
      <c r="AD30" s="384" t="s">
        <v>533</v>
      </c>
      <c r="AE30" s="384"/>
      <c r="AF30" s="385">
        <v>0.35</v>
      </c>
      <c r="AG30" s="385">
        <f t="shared" ref="AG30:AG44" si="0">+AH30/AA30</f>
        <v>0.9494949494949495</v>
      </c>
      <c r="AH30" s="407">
        <f t="shared" ref="AH30:AH44" si="1">+AP30-U30-Y30+1</f>
        <v>564</v>
      </c>
      <c r="AI30" s="407">
        <f t="shared" ref="AI30:AI44" si="2">+AA30-AH30</f>
        <v>30</v>
      </c>
      <c r="AJ30" s="513">
        <f t="shared" ref="AJ30:AJ44" si="3">+ROUND((Q30/AA30)*AF30*AI30,0)</f>
        <v>37933752</v>
      </c>
      <c r="AK30" s="513"/>
      <c r="AL30" s="513"/>
      <c r="AM30" s="513"/>
      <c r="AN30" s="513"/>
      <c r="AP30" s="406">
        <v>44014</v>
      </c>
      <c r="AQ30" s="406"/>
      <c r="AR30" s="443"/>
    </row>
    <row r="31" spans="1:44" ht="35.1" customHeight="1" x14ac:dyDescent="0.25">
      <c r="A31" s="509"/>
      <c r="B31" s="509"/>
      <c r="C31" s="509"/>
      <c r="D31" s="509"/>
      <c r="E31" s="509"/>
      <c r="F31" s="509"/>
      <c r="G31" s="509"/>
      <c r="H31" s="509"/>
      <c r="I31" s="509"/>
      <c r="J31" s="509"/>
      <c r="K31" s="509"/>
      <c r="L31" s="509"/>
      <c r="M31" s="509"/>
      <c r="N31" s="509"/>
      <c r="O31" s="509"/>
      <c r="P31" s="509"/>
      <c r="Q31" s="510">
        <v>9472222990</v>
      </c>
      <c r="R31" s="511"/>
      <c r="S31" s="511"/>
      <c r="T31" s="512"/>
      <c r="U31" s="506">
        <v>41809</v>
      </c>
      <c r="V31" s="506"/>
      <c r="W31" s="506"/>
      <c r="X31" s="506"/>
      <c r="Y31" s="507">
        <v>72</v>
      </c>
      <c r="Z31" s="507"/>
      <c r="AA31" s="507">
        <f>75.6*30</f>
        <v>2268</v>
      </c>
      <c r="AB31" s="507"/>
      <c r="AC31" s="384"/>
      <c r="AD31" s="384" t="s">
        <v>533</v>
      </c>
      <c r="AE31" s="384"/>
      <c r="AF31" s="385">
        <v>0.5</v>
      </c>
      <c r="AG31" s="385">
        <f t="shared" si="0"/>
        <v>0.94091710758377423</v>
      </c>
      <c r="AH31" s="407">
        <f t="shared" si="1"/>
        <v>2134</v>
      </c>
      <c r="AI31" s="407">
        <f t="shared" si="2"/>
        <v>134</v>
      </c>
      <c r="AJ31" s="513">
        <f t="shared" si="3"/>
        <v>279823166</v>
      </c>
      <c r="AK31" s="513"/>
      <c r="AL31" s="513"/>
      <c r="AM31" s="513"/>
      <c r="AN31" s="513"/>
      <c r="AP31" s="406">
        <v>44014</v>
      </c>
      <c r="AQ31" s="405"/>
      <c r="AR31" s="405"/>
    </row>
    <row r="32" spans="1:44" ht="35.1" customHeight="1" x14ac:dyDescent="0.25">
      <c r="A32" s="509"/>
      <c r="B32" s="509"/>
      <c r="C32" s="509"/>
      <c r="D32" s="509"/>
      <c r="E32" s="509"/>
      <c r="F32" s="509"/>
      <c r="G32" s="509"/>
      <c r="H32" s="509"/>
      <c r="I32" s="509"/>
      <c r="J32" s="509"/>
      <c r="K32" s="509"/>
      <c r="L32" s="509"/>
      <c r="M32" s="509"/>
      <c r="N32" s="509"/>
      <c r="O32" s="509"/>
      <c r="P32" s="509"/>
      <c r="Q32" s="510">
        <v>30972785086</v>
      </c>
      <c r="R32" s="511"/>
      <c r="S32" s="511"/>
      <c r="T32" s="512"/>
      <c r="U32" s="506">
        <v>42491</v>
      </c>
      <c r="V32" s="506"/>
      <c r="W32" s="506"/>
      <c r="X32" s="506"/>
      <c r="Y32" s="507"/>
      <c r="Z32" s="507"/>
      <c r="AA32" s="507">
        <f>54.4*30</f>
        <v>1632</v>
      </c>
      <c r="AB32" s="507"/>
      <c r="AC32" s="384"/>
      <c r="AD32" s="384" t="s">
        <v>533</v>
      </c>
      <c r="AE32" s="384"/>
      <c r="AF32" s="385">
        <v>0.5</v>
      </c>
      <c r="AG32" s="385">
        <f t="shared" si="0"/>
        <v>0.93382352941176472</v>
      </c>
      <c r="AH32" s="407">
        <f t="shared" si="1"/>
        <v>1524</v>
      </c>
      <c r="AI32" s="407">
        <f t="shared" si="2"/>
        <v>108</v>
      </c>
      <c r="AJ32" s="513">
        <f t="shared" si="3"/>
        <v>1024834801</v>
      </c>
      <c r="AK32" s="513"/>
      <c r="AL32" s="513"/>
      <c r="AM32" s="513"/>
      <c r="AN32" s="513"/>
      <c r="AP32" s="406">
        <v>44014</v>
      </c>
      <c r="AQ32" s="405"/>
      <c r="AR32" s="405"/>
    </row>
    <row r="33" spans="1:44" ht="35.1" customHeight="1" x14ac:dyDescent="0.25">
      <c r="A33" s="509"/>
      <c r="B33" s="509"/>
      <c r="C33" s="509"/>
      <c r="D33" s="509"/>
      <c r="E33" s="509"/>
      <c r="F33" s="509"/>
      <c r="G33" s="509"/>
      <c r="H33" s="509"/>
      <c r="I33" s="509"/>
      <c r="J33" s="509"/>
      <c r="K33" s="509"/>
      <c r="L33" s="509"/>
      <c r="M33" s="509"/>
      <c r="N33" s="509"/>
      <c r="O33" s="509"/>
      <c r="P33" s="509"/>
      <c r="Q33" s="510">
        <v>25225169528</v>
      </c>
      <c r="R33" s="511"/>
      <c r="S33" s="511"/>
      <c r="T33" s="512"/>
      <c r="U33" s="506">
        <v>42606</v>
      </c>
      <c r="V33" s="506"/>
      <c r="W33" s="506"/>
      <c r="X33" s="506"/>
      <c r="Y33" s="507">
        <v>191</v>
      </c>
      <c r="Z33" s="507"/>
      <c r="AA33" s="507">
        <f>49.67*30-0.1</f>
        <v>1490.0000000000002</v>
      </c>
      <c r="AB33" s="507"/>
      <c r="AC33" s="384"/>
      <c r="AD33" s="384" t="s">
        <v>533</v>
      </c>
      <c r="AE33" s="384"/>
      <c r="AF33" s="385">
        <v>0.4</v>
      </c>
      <c r="AG33" s="385">
        <f t="shared" si="0"/>
        <v>0.81744966442953004</v>
      </c>
      <c r="AH33" s="407">
        <f t="shared" si="1"/>
        <v>1218</v>
      </c>
      <c r="AI33" s="407">
        <f t="shared" si="2"/>
        <v>272.00000000000023</v>
      </c>
      <c r="AJ33" s="513">
        <f t="shared" si="3"/>
        <v>1841945265</v>
      </c>
      <c r="AK33" s="513"/>
      <c r="AL33" s="513"/>
      <c r="AM33" s="513"/>
      <c r="AN33" s="513"/>
      <c r="AP33" s="406">
        <v>44014</v>
      </c>
      <c r="AQ33" s="405"/>
      <c r="AR33" s="405"/>
    </row>
    <row r="34" spans="1:44" ht="35.1" customHeight="1" x14ac:dyDescent="0.25">
      <c r="A34" s="509"/>
      <c r="B34" s="509"/>
      <c r="C34" s="509"/>
      <c r="D34" s="509"/>
      <c r="E34" s="509"/>
      <c r="F34" s="509"/>
      <c r="G34" s="509"/>
      <c r="H34" s="509"/>
      <c r="I34" s="509"/>
      <c r="J34" s="509"/>
      <c r="K34" s="509"/>
      <c r="L34" s="509"/>
      <c r="M34" s="509"/>
      <c r="N34" s="509"/>
      <c r="O34" s="509"/>
      <c r="P34" s="509"/>
      <c r="Q34" s="510">
        <v>46507666262</v>
      </c>
      <c r="R34" s="511"/>
      <c r="S34" s="511"/>
      <c r="T34" s="512"/>
      <c r="U34" s="506">
        <v>43084</v>
      </c>
      <c r="V34" s="506"/>
      <c r="W34" s="506"/>
      <c r="X34" s="506"/>
      <c r="Y34" s="507"/>
      <c r="Z34" s="507"/>
      <c r="AA34" s="507">
        <f>31.3*30</f>
        <v>939</v>
      </c>
      <c r="AB34" s="507"/>
      <c r="AC34" s="384"/>
      <c r="AD34" s="384" t="s">
        <v>533</v>
      </c>
      <c r="AE34" s="384"/>
      <c r="AF34" s="385">
        <v>0.1</v>
      </c>
      <c r="AG34" s="385">
        <f t="shared" si="0"/>
        <v>0.9914802981895634</v>
      </c>
      <c r="AH34" s="407">
        <f t="shared" si="1"/>
        <v>931</v>
      </c>
      <c r="AI34" s="407">
        <f t="shared" si="2"/>
        <v>8</v>
      </c>
      <c r="AJ34" s="513">
        <f t="shared" si="3"/>
        <v>39623145</v>
      </c>
      <c r="AK34" s="513"/>
      <c r="AL34" s="513"/>
      <c r="AM34" s="513"/>
      <c r="AN34" s="513"/>
      <c r="AP34" s="406">
        <v>44014</v>
      </c>
      <c r="AQ34" s="405"/>
      <c r="AR34" s="405"/>
    </row>
    <row r="35" spans="1:44" ht="35.1" customHeight="1" x14ac:dyDescent="0.25">
      <c r="A35" s="509"/>
      <c r="B35" s="509"/>
      <c r="C35" s="509"/>
      <c r="D35" s="509"/>
      <c r="E35" s="509"/>
      <c r="F35" s="509"/>
      <c r="G35" s="509"/>
      <c r="H35" s="509"/>
      <c r="I35" s="509"/>
      <c r="J35" s="509"/>
      <c r="K35" s="509"/>
      <c r="L35" s="509"/>
      <c r="M35" s="509"/>
      <c r="N35" s="509"/>
      <c r="O35" s="509"/>
      <c r="P35" s="509"/>
      <c r="Q35" s="510">
        <v>15925288930</v>
      </c>
      <c r="R35" s="511"/>
      <c r="S35" s="511"/>
      <c r="T35" s="512"/>
      <c r="U35" s="506">
        <v>43145</v>
      </c>
      <c r="V35" s="506"/>
      <c r="W35" s="506"/>
      <c r="X35" s="506"/>
      <c r="Y35" s="507"/>
      <c r="Z35" s="507"/>
      <c r="AA35" s="507">
        <f>29.63*30+0.1</f>
        <v>889</v>
      </c>
      <c r="AB35" s="507"/>
      <c r="AC35" s="384"/>
      <c r="AD35" s="384" t="s">
        <v>533</v>
      </c>
      <c r="AE35" s="384"/>
      <c r="AF35" s="385">
        <v>0.15</v>
      </c>
      <c r="AG35" s="385">
        <f t="shared" si="0"/>
        <v>0.97862767154105734</v>
      </c>
      <c r="AH35" s="407">
        <f t="shared" si="1"/>
        <v>870</v>
      </c>
      <c r="AI35" s="407">
        <f t="shared" si="2"/>
        <v>19</v>
      </c>
      <c r="AJ35" s="513">
        <f t="shared" si="3"/>
        <v>51054076</v>
      </c>
      <c r="AK35" s="513"/>
      <c r="AL35" s="513"/>
      <c r="AM35" s="513"/>
      <c r="AN35" s="513"/>
      <c r="AP35" s="406">
        <v>44014</v>
      </c>
      <c r="AQ35" s="405"/>
      <c r="AR35" s="405"/>
    </row>
    <row r="36" spans="1:44" ht="35.1" customHeight="1" x14ac:dyDescent="0.25">
      <c r="A36" s="509"/>
      <c r="B36" s="509"/>
      <c r="C36" s="509"/>
      <c r="D36" s="509"/>
      <c r="E36" s="509"/>
      <c r="F36" s="509"/>
      <c r="G36" s="509"/>
      <c r="H36" s="509"/>
      <c r="I36" s="509"/>
      <c r="J36" s="509"/>
      <c r="K36" s="509"/>
      <c r="L36" s="509"/>
      <c r="M36" s="509"/>
      <c r="N36" s="509"/>
      <c r="O36" s="509"/>
      <c r="P36" s="509"/>
      <c r="Q36" s="510">
        <v>8256214775</v>
      </c>
      <c r="R36" s="511"/>
      <c r="S36" s="511"/>
      <c r="T36" s="512"/>
      <c r="U36" s="506">
        <v>43122</v>
      </c>
      <c r="V36" s="506"/>
      <c r="W36" s="506"/>
      <c r="X36" s="506"/>
      <c r="Y36" s="507"/>
      <c r="Z36" s="507"/>
      <c r="AA36" s="507">
        <f>30.43*30+0.1</f>
        <v>913</v>
      </c>
      <c r="AB36" s="507"/>
      <c r="AC36" s="384"/>
      <c r="AD36" s="384" t="s">
        <v>533</v>
      </c>
      <c r="AE36" s="384"/>
      <c r="AF36" s="385">
        <v>0.62</v>
      </c>
      <c r="AG36" s="385">
        <f t="shared" si="0"/>
        <v>0.97809419496166483</v>
      </c>
      <c r="AH36" s="407">
        <f t="shared" si="1"/>
        <v>893</v>
      </c>
      <c r="AI36" s="407">
        <f t="shared" si="2"/>
        <v>20</v>
      </c>
      <c r="AJ36" s="513">
        <f t="shared" si="3"/>
        <v>112132599</v>
      </c>
      <c r="AK36" s="513"/>
      <c r="AL36" s="513"/>
      <c r="AM36" s="513"/>
      <c r="AN36" s="513"/>
      <c r="AP36" s="406">
        <v>44014</v>
      </c>
      <c r="AQ36" s="405"/>
      <c r="AR36" s="405"/>
    </row>
    <row r="37" spans="1:44" ht="35.1" customHeight="1" x14ac:dyDescent="0.25">
      <c r="A37" s="509"/>
      <c r="B37" s="509"/>
      <c r="C37" s="509"/>
      <c r="D37" s="509"/>
      <c r="E37" s="509"/>
      <c r="F37" s="509"/>
      <c r="G37" s="509"/>
      <c r="H37" s="509"/>
      <c r="I37" s="509"/>
      <c r="J37" s="509"/>
      <c r="K37" s="509"/>
      <c r="L37" s="509"/>
      <c r="M37" s="509"/>
      <c r="N37" s="509"/>
      <c r="O37" s="509"/>
      <c r="P37" s="509"/>
      <c r="Q37" s="510">
        <v>12551353156</v>
      </c>
      <c r="R37" s="511"/>
      <c r="S37" s="511"/>
      <c r="T37" s="512"/>
      <c r="U37" s="506">
        <v>43228</v>
      </c>
      <c r="V37" s="506"/>
      <c r="W37" s="506"/>
      <c r="X37" s="506"/>
      <c r="Y37" s="507"/>
      <c r="Z37" s="507"/>
      <c r="AA37" s="507">
        <f>27.13*30+0.1</f>
        <v>814</v>
      </c>
      <c r="AB37" s="507"/>
      <c r="AC37" s="384"/>
      <c r="AD37" s="384" t="s">
        <v>533</v>
      </c>
      <c r="AE37" s="384"/>
      <c r="AF37" s="385">
        <v>0.3</v>
      </c>
      <c r="AG37" s="385">
        <f t="shared" si="0"/>
        <v>0.96683046683046681</v>
      </c>
      <c r="AH37" s="407">
        <f t="shared" si="1"/>
        <v>787</v>
      </c>
      <c r="AI37" s="407">
        <f t="shared" si="2"/>
        <v>27</v>
      </c>
      <c r="AJ37" s="513">
        <f t="shared" si="3"/>
        <v>124896757</v>
      </c>
      <c r="AK37" s="513"/>
      <c r="AL37" s="513"/>
      <c r="AM37" s="513"/>
      <c r="AN37" s="513"/>
      <c r="AP37" s="406">
        <v>44014</v>
      </c>
      <c r="AQ37" s="405"/>
      <c r="AR37" s="405"/>
    </row>
    <row r="38" spans="1:44" ht="35.1" customHeight="1" x14ac:dyDescent="0.25">
      <c r="A38" s="509"/>
      <c r="B38" s="509"/>
      <c r="C38" s="509"/>
      <c r="D38" s="509"/>
      <c r="E38" s="509"/>
      <c r="F38" s="509"/>
      <c r="G38" s="509"/>
      <c r="H38" s="509"/>
      <c r="I38" s="509"/>
      <c r="J38" s="509"/>
      <c r="K38" s="509"/>
      <c r="L38" s="509"/>
      <c r="M38" s="509"/>
      <c r="N38" s="509"/>
      <c r="O38" s="509"/>
      <c r="P38" s="509"/>
      <c r="Q38" s="510">
        <v>9102196599</v>
      </c>
      <c r="R38" s="511"/>
      <c r="S38" s="511"/>
      <c r="T38" s="512"/>
      <c r="U38" s="506">
        <v>43228</v>
      </c>
      <c r="V38" s="506"/>
      <c r="W38" s="506"/>
      <c r="X38" s="506"/>
      <c r="Y38" s="507"/>
      <c r="Z38" s="507"/>
      <c r="AA38" s="507">
        <f>26.87*30-0.1</f>
        <v>806</v>
      </c>
      <c r="AB38" s="507"/>
      <c r="AC38" s="384"/>
      <c r="AD38" s="384" t="s">
        <v>533</v>
      </c>
      <c r="AE38" s="384"/>
      <c r="AF38" s="385">
        <v>0.5</v>
      </c>
      <c r="AG38" s="385">
        <f t="shared" si="0"/>
        <v>0.97642679900744422</v>
      </c>
      <c r="AH38" s="407">
        <f t="shared" si="1"/>
        <v>787</v>
      </c>
      <c r="AI38" s="407">
        <f t="shared" si="2"/>
        <v>19</v>
      </c>
      <c r="AJ38" s="513">
        <f t="shared" si="3"/>
        <v>107283955</v>
      </c>
      <c r="AK38" s="513"/>
      <c r="AL38" s="513"/>
      <c r="AM38" s="513"/>
      <c r="AN38" s="513"/>
      <c r="AP38" s="406">
        <v>44014</v>
      </c>
      <c r="AQ38" s="405"/>
      <c r="AR38" s="405"/>
    </row>
    <row r="39" spans="1:44" ht="35.1" customHeight="1" x14ac:dyDescent="0.25">
      <c r="A39" s="509"/>
      <c r="B39" s="509"/>
      <c r="C39" s="509"/>
      <c r="D39" s="509"/>
      <c r="E39" s="509"/>
      <c r="F39" s="509"/>
      <c r="G39" s="509"/>
      <c r="H39" s="509"/>
      <c r="I39" s="509"/>
      <c r="J39" s="509"/>
      <c r="K39" s="509"/>
      <c r="L39" s="509"/>
      <c r="M39" s="509"/>
      <c r="N39" s="509"/>
      <c r="O39" s="509"/>
      <c r="P39" s="509"/>
      <c r="Q39" s="510">
        <v>38713274058</v>
      </c>
      <c r="R39" s="511"/>
      <c r="S39" s="511"/>
      <c r="T39" s="512"/>
      <c r="U39" s="506">
        <v>43446</v>
      </c>
      <c r="V39" s="506"/>
      <c r="W39" s="506"/>
      <c r="X39" s="506"/>
      <c r="Y39" s="507"/>
      <c r="Z39" s="507"/>
      <c r="AA39" s="507">
        <f>21.67*30-0.1</f>
        <v>650</v>
      </c>
      <c r="AB39" s="507"/>
      <c r="AC39" s="384"/>
      <c r="AD39" s="384" t="s">
        <v>533</v>
      </c>
      <c r="AE39" s="384"/>
      <c r="AF39" s="385">
        <v>0.3</v>
      </c>
      <c r="AG39" s="385">
        <f t="shared" si="0"/>
        <v>0.87538461538461543</v>
      </c>
      <c r="AH39" s="407">
        <f t="shared" si="1"/>
        <v>569</v>
      </c>
      <c r="AI39" s="407">
        <f t="shared" si="2"/>
        <v>81</v>
      </c>
      <c r="AJ39" s="513">
        <f t="shared" si="3"/>
        <v>1447280861</v>
      </c>
      <c r="AK39" s="513"/>
      <c r="AL39" s="513"/>
      <c r="AM39" s="513"/>
      <c r="AN39" s="513"/>
      <c r="AP39" s="406">
        <v>44014</v>
      </c>
      <c r="AQ39" s="405"/>
      <c r="AR39" s="405"/>
    </row>
    <row r="40" spans="1:44" ht="35.1" customHeight="1" x14ac:dyDescent="0.25">
      <c r="A40" s="509"/>
      <c r="B40" s="509"/>
      <c r="C40" s="509"/>
      <c r="D40" s="509"/>
      <c r="E40" s="509"/>
      <c r="F40" s="509"/>
      <c r="G40" s="509"/>
      <c r="H40" s="509"/>
      <c r="I40" s="509"/>
      <c r="J40" s="509"/>
      <c r="K40" s="509"/>
      <c r="L40" s="509"/>
      <c r="M40" s="509"/>
      <c r="N40" s="509"/>
      <c r="O40" s="509"/>
      <c r="P40" s="509"/>
      <c r="Q40" s="510">
        <v>14173627737</v>
      </c>
      <c r="R40" s="511"/>
      <c r="S40" s="511"/>
      <c r="T40" s="512"/>
      <c r="U40" s="506">
        <v>43426</v>
      </c>
      <c r="V40" s="506"/>
      <c r="W40" s="506"/>
      <c r="X40" s="506"/>
      <c r="Y40" s="507"/>
      <c r="Z40" s="507"/>
      <c r="AA40" s="507">
        <f>20.07*30-0.1</f>
        <v>602</v>
      </c>
      <c r="AB40" s="507"/>
      <c r="AC40" s="384"/>
      <c r="AD40" s="384" t="s">
        <v>533</v>
      </c>
      <c r="AE40" s="384"/>
      <c r="AF40" s="385">
        <v>0.5</v>
      </c>
      <c r="AG40" s="385">
        <f t="shared" si="0"/>
        <v>0.97840531561461797</v>
      </c>
      <c r="AH40" s="407">
        <f t="shared" si="1"/>
        <v>589</v>
      </c>
      <c r="AI40" s="407">
        <f t="shared" si="2"/>
        <v>13</v>
      </c>
      <c r="AJ40" s="513">
        <f t="shared" si="3"/>
        <v>153037509</v>
      </c>
      <c r="AK40" s="513"/>
      <c r="AL40" s="513"/>
      <c r="AM40" s="513"/>
      <c r="AN40" s="513"/>
      <c r="AP40" s="406">
        <v>44014</v>
      </c>
      <c r="AQ40" s="405"/>
      <c r="AR40" s="405"/>
    </row>
    <row r="41" spans="1:44" ht="35.1" customHeight="1" x14ac:dyDescent="0.25">
      <c r="A41" s="509"/>
      <c r="B41" s="509"/>
      <c r="C41" s="509"/>
      <c r="D41" s="509"/>
      <c r="E41" s="509"/>
      <c r="F41" s="509"/>
      <c r="G41" s="509"/>
      <c r="H41" s="509"/>
      <c r="I41" s="509"/>
      <c r="J41" s="509"/>
      <c r="K41" s="509"/>
      <c r="L41" s="509"/>
      <c r="M41" s="509"/>
      <c r="N41" s="509"/>
      <c r="O41" s="509"/>
      <c r="P41" s="509"/>
      <c r="Q41" s="510">
        <v>21310531900</v>
      </c>
      <c r="R41" s="511"/>
      <c r="S41" s="511"/>
      <c r="T41" s="512"/>
      <c r="U41" s="506">
        <v>43461</v>
      </c>
      <c r="V41" s="506"/>
      <c r="W41" s="506"/>
      <c r="X41" s="506"/>
      <c r="Y41" s="507"/>
      <c r="Z41" s="507"/>
      <c r="AA41" s="507">
        <f>18.73*30+0.1</f>
        <v>562</v>
      </c>
      <c r="AB41" s="507"/>
      <c r="AC41" s="384"/>
      <c r="AD41" s="384" t="s">
        <v>533</v>
      </c>
      <c r="AE41" s="384"/>
      <c r="AF41" s="385">
        <v>0.52</v>
      </c>
      <c r="AG41" s="385">
        <f t="shared" si="0"/>
        <v>0.98576512455516019</v>
      </c>
      <c r="AH41" s="407">
        <f t="shared" si="1"/>
        <v>554</v>
      </c>
      <c r="AI41" s="407">
        <f t="shared" si="2"/>
        <v>8</v>
      </c>
      <c r="AJ41" s="513">
        <f t="shared" si="3"/>
        <v>157743439</v>
      </c>
      <c r="AK41" s="513"/>
      <c r="AL41" s="513"/>
      <c r="AM41" s="513"/>
      <c r="AN41" s="513"/>
      <c r="AP41" s="406">
        <v>44014</v>
      </c>
      <c r="AQ41" s="405"/>
      <c r="AR41" s="405"/>
    </row>
    <row r="42" spans="1:44" ht="35.1" customHeight="1" x14ac:dyDescent="0.25">
      <c r="A42" s="509"/>
      <c r="B42" s="509"/>
      <c r="C42" s="509"/>
      <c r="D42" s="509"/>
      <c r="E42" s="509"/>
      <c r="F42" s="509"/>
      <c r="G42" s="509"/>
      <c r="H42" s="509"/>
      <c r="I42" s="509"/>
      <c r="J42" s="509"/>
      <c r="K42" s="509"/>
      <c r="L42" s="509"/>
      <c r="M42" s="509"/>
      <c r="N42" s="509"/>
      <c r="O42" s="509"/>
      <c r="P42" s="509"/>
      <c r="Q42" s="510">
        <v>1263527700</v>
      </c>
      <c r="R42" s="511"/>
      <c r="S42" s="511"/>
      <c r="T42" s="512"/>
      <c r="U42" s="506">
        <v>43724</v>
      </c>
      <c r="V42" s="506"/>
      <c r="W42" s="506"/>
      <c r="X42" s="506"/>
      <c r="Y42" s="507"/>
      <c r="Z42" s="507"/>
      <c r="AA42" s="507">
        <f>10.27*30-0.1</f>
        <v>307.99999999999994</v>
      </c>
      <c r="AB42" s="507"/>
      <c r="AC42" s="384"/>
      <c r="AD42" s="384" t="s">
        <v>533</v>
      </c>
      <c r="AE42" s="384"/>
      <c r="AF42" s="385">
        <v>0.4</v>
      </c>
      <c r="AG42" s="385">
        <f t="shared" si="0"/>
        <v>0.94480519480519498</v>
      </c>
      <c r="AH42" s="407">
        <f t="shared" si="1"/>
        <v>291</v>
      </c>
      <c r="AI42" s="407">
        <f t="shared" si="2"/>
        <v>16.999999999999943</v>
      </c>
      <c r="AJ42" s="513">
        <f t="shared" si="3"/>
        <v>27896066</v>
      </c>
      <c r="AK42" s="513"/>
      <c r="AL42" s="513"/>
      <c r="AM42" s="513"/>
      <c r="AN42" s="513"/>
      <c r="AP42" s="406">
        <v>44014</v>
      </c>
      <c r="AQ42" s="405"/>
      <c r="AR42" s="405"/>
    </row>
    <row r="43" spans="1:44" ht="35.1" customHeight="1" x14ac:dyDescent="0.25">
      <c r="A43" s="509"/>
      <c r="B43" s="509"/>
      <c r="C43" s="509"/>
      <c r="D43" s="509"/>
      <c r="E43" s="509"/>
      <c r="F43" s="509"/>
      <c r="G43" s="509"/>
      <c r="H43" s="509"/>
      <c r="I43" s="509"/>
      <c r="J43" s="509"/>
      <c r="K43" s="509"/>
      <c r="L43" s="509"/>
      <c r="M43" s="509"/>
      <c r="N43" s="509"/>
      <c r="O43" s="509"/>
      <c r="P43" s="509"/>
      <c r="Q43" s="510">
        <v>40319501003</v>
      </c>
      <c r="R43" s="511"/>
      <c r="S43" s="511"/>
      <c r="T43" s="512"/>
      <c r="U43" s="506">
        <v>43084</v>
      </c>
      <c r="V43" s="506"/>
      <c r="W43" s="506"/>
      <c r="X43" s="506"/>
      <c r="Y43" s="507"/>
      <c r="Z43" s="507"/>
      <c r="AA43" s="507">
        <f>31.3*30</f>
        <v>939</v>
      </c>
      <c r="AB43" s="507"/>
      <c r="AC43" s="384"/>
      <c r="AD43" s="384" t="s">
        <v>533</v>
      </c>
      <c r="AE43" s="384"/>
      <c r="AF43" s="385">
        <v>0.3</v>
      </c>
      <c r="AG43" s="385">
        <f t="shared" si="0"/>
        <v>0.9914802981895634</v>
      </c>
      <c r="AH43" s="407">
        <f t="shared" si="1"/>
        <v>931</v>
      </c>
      <c r="AI43" s="407">
        <f t="shared" si="2"/>
        <v>8</v>
      </c>
      <c r="AJ43" s="513">
        <f t="shared" si="3"/>
        <v>103053038</v>
      </c>
      <c r="AK43" s="513"/>
      <c r="AL43" s="513"/>
      <c r="AM43" s="513"/>
      <c r="AN43" s="513"/>
      <c r="AP43" s="406">
        <v>44014</v>
      </c>
      <c r="AQ43" s="405"/>
      <c r="AR43" s="405"/>
    </row>
    <row r="44" spans="1:44" ht="35.1" customHeight="1" x14ac:dyDescent="0.25">
      <c r="A44" s="509"/>
      <c r="B44" s="509"/>
      <c r="C44" s="509"/>
      <c r="D44" s="509"/>
      <c r="E44" s="509"/>
      <c r="F44" s="509"/>
      <c r="G44" s="509"/>
      <c r="H44" s="509"/>
      <c r="I44" s="509"/>
      <c r="J44" s="509"/>
      <c r="K44" s="509"/>
      <c r="L44" s="509"/>
      <c r="M44" s="509"/>
      <c r="N44" s="509"/>
      <c r="O44" s="509"/>
      <c r="P44" s="509"/>
      <c r="Q44" s="510">
        <v>7745500557</v>
      </c>
      <c r="R44" s="511"/>
      <c r="S44" s="511"/>
      <c r="T44" s="512"/>
      <c r="U44" s="506">
        <v>43760</v>
      </c>
      <c r="V44" s="506"/>
      <c r="W44" s="506"/>
      <c r="X44" s="506"/>
      <c r="Y44" s="507"/>
      <c r="Z44" s="507"/>
      <c r="AA44" s="507">
        <f>10.17*30-0.1</f>
        <v>305</v>
      </c>
      <c r="AB44" s="507"/>
      <c r="AC44" s="384"/>
      <c r="AD44" s="384" t="s">
        <v>533</v>
      </c>
      <c r="AE44" s="384"/>
      <c r="AF44" s="385">
        <v>0.25</v>
      </c>
      <c r="AG44" s="385">
        <f t="shared" si="0"/>
        <v>0.83606557377049184</v>
      </c>
      <c r="AH44" s="407">
        <f t="shared" si="1"/>
        <v>255</v>
      </c>
      <c r="AI44" s="407">
        <f t="shared" si="2"/>
        <v>50</v>
      </c>
      <c r="AJ44" s="513">
        <f t="shared" si="3"/>
        <v>317438547</v>
      </c>
      <c r="AK44" s="513"/>
      <c r="AL44" s="513"/>
      <c r="AM44" s="513"/>
      <c r="AN44" s="513"/>
      <c r="AP44" s="406">
        <v>44014</v>
      </c>
      <c r="AQ44" s="405"/>
      <c r="AR44" s="405"/>
    </row>
    <row r="45" spans="1:44" x14ac:dyDescent="0.25">
      <c r="AD45" s="605" t="s">
        <v>802</v>
      </c>
      <c r="AE45" s="605"/>
      <c r="AF45" s="605"/>
      <c r="AG45" s="605"/>
      <c r="AH45" s="605"/>
      <c r="AI45" s="605"/>
      <c r="AJ45" s="606">
        <f>SUM(AJ29:AN44)</f>
        <v>5871138697</v>
      </c>
      <c r="AK45" s="607"/>
      <c r="AL45" s="607"/>
      <c r="AM45" s="607"/>
      <c r="AN45" s="607"/>
    </row>
    <row r="46" spans="1:44" s="374" customFormat="1" x14ac:dyDescent="0.25">
      <c r="A46" s="378" t="s">
        <v>801</v>
      </c>
      <c r="B46" s="370"/>
      <c r="C46" s="370"/>
      <c r="D46" s="370"/>
      <c r="E46" s="379"/>
      <c r="F46" s="379"/>
      <c r="G46" s="379"/>
      <c r="H46" s="378" t="str">
        <f>+B19</f>
        <v>ASESORIA CONSULTORIA Y GESTION COLOMBIA SAS</v>
      </c>
      <c r="I46" s="370"/>
      <c r="J46" s="370"/>
      <c r="K46" s="370"/>
      <c r="L46" s="370"/>
      <c r="M46" s="370"/>
      <c r="N46" s="370"/>
      <c r="O46" s="370"/>
      <c r="P46" s="370"/>
      <c r="Q46" s="370"/>
      <c r="R46" s="370"/>
      <c r="S46" s="379"/>
      <c r="T46" s="379"/>
      <c r="U46" s="379"/>
      <c r="V46" s="379"/>
      <c r="W46" s="379"/>
      <c r="X46" s="379"/>
      <c r="Y46" s="379"/>
      <c r="Z46" s="379"/>
      <c r="AA46" s="379"/>
      <c r="AB46" s="379"/>
      <c r="AC46" s="380"/>
      <c r="AD46" s="380"/>
      <c r="AE46" s="380"/>
      <c r="AF46" s="381"/>
      <c r="AG46" s="382"/>
      <c r="AH46" s="383"/>
      <c r="AI46" s="383"/>
      <c r="AJ46" s="379"/>
      <c r="AK46" s="379"/>
      <c r="AL46" s="379"/>
      <c r="AM46" s="379"/>
      <c r="AN46" s="379"/>
    </row>
    <row r="47" spans="1:44" ht="35.1" customHeight="1" x14ac:dyDescent="0.25">
      <c r="A47" s="509"/>
      <c r="B47" s="509"/>
      <c r="C47" s="509"/>
      <c r="D47" s="509"/>
      <c r="E47" s="509"/>
      <c r="F47" s="509"/>
      <c r="G47" s="509"/>
      <c r="H47" s="509"/>
      <c r="I47" s="509"/>
      <c r="J47" s="509"/>
      <c r="K47" s="509"/>
      <c r="L47" s="509"/>
      <c r="M47" s="509"/>
      <c r="N47" s="509"/>
      <c r="O47" s="509"/>
      <c r="P47" s="509"/>
      <c r="Q47" s="510">
        <v>10086907125</v>
      </c>
      <c r="R47" s="511"/>
      <c r="S47" s="511"/>
      <c r="T47" s="512"/>
      <c r="U47" s="506">
        <v>43718</v>
      </c>
      <c r="V47" s="506"/>
      <c r="W47" s="506">
        <v>43907</v>
      </c>
      <c r="X47" s="506"/>
      <c r="Y47" s="507">
        <v>108</v>
      </c>
      <c r="Z47" s="507"/>
      <c r="AA47" s="509">
        <v>360</v>
      </c>
      <c r="AB47" s="509"/>
      <c r="AC47" s="384"/>
      <c r="AD47" s="384" t="s">
        <v>533</v>
      </c>
      <c r="AE47" s="384"/>
      <c r="AF47" s="385">
        <v>0.7</v>
      </c>
      <c r="AG47" s="385">
        <f>+AH47/AA47</f>
        <v>0.52500000000000002</v>
      </c>
      <c r="AH47" s="407">
        <f>+AP47-U47-Y47+1</f>
        <v>189</v>
      </c>
      <c r="AI47" s="407">
        <f>+AA47-AH47</f>
        <v>171</v>
      </c>
      <c r="AJ47" s="513">
        <f>+ROUND((Q47/AA47)*AF47*AI47,0)</f>
        <v>3353896619</v>
      </c>
      <c r="AK47" s="513"/>
      <c r="AL47" s="513"/>
      <c r="AM47" s="513"/>
      <c r="AN47" s="513"/>
      <c r="AP47" s="406">
        <v>44014</v>
      </c>
      <c r="AQ47" s="406"/>
    </row>
    <row r="48" spans="1:44" ht="35.1" customHeight="1" x14ac:dyDescent="0.25">
      <c r="A48" s="509"/>
      <c r="B48" s="509"/>
      <c r="C48" s="509"/>
      <c r="D48" s="509"/>
      <c r="E48" s="509"/>
      <c r="F48" s="509"/>
      <c r="G48" s="509"/>
      <c r="H48" s="509"/>
      <c r="I48" s="509"/>
      <c r="J48" s="509"/>
      <c r="K48" s="509"/>
      <c r="L48" s="509"/>
      <c r="M48" s="509"/>
      <c r="N48" s="509"/>
      <c r="O48" s="509"/>
      <c r="P48" s="509"/>
      <c r="Q48" s="510">
        <v>1275745941</v>
      </c>
      <c r="R48" s="511"/>
      <c r="S48" s="511"/>
      <c r="T48" s="512"/>
      <c r="U48" s="506">
        <v>44013</v>
      </c>
      <c r="V48" s="506"/>
      <c r="W48" s="506"/>
      <c r="X48" s="506"/>
      <c r="Y48" s="507"/>
      <c r="Z48" s="507"/>
      <c r="AA48" s="509">
        <f>4*30</f>
        <v>120</v>
      </c>
      <c r="AB48" s="509"/>
      <c r="AC48" s="384"/>
      <c r="AD48" s="384" t="s">
        <v>533</v>
      </c>
      <c r="AE48" s="384"/>
      <c r="AF48" s="385">
        <v>0.5</v>
      </c>
      <c r="AG48" s="385">
        <f t="shared" ref="AG48:AG53" si="4">+AH48/AA48</f>
        <v>1.6666666666666666E-2</v>
      </c>
      <c r="AH48" s="407">
        <f t="shared" ref="AH48:AH53" si="5">+AP48-U48-Y48+1</f>
        <v>2</v>
      </c>
      <c r="AI48" s="407">
        <f t="shared" ref="AI48:AI53" si="6">+AA48-AH48</f>
        <v>118</v>
      </c>
      <c r="AJ48" s="513">
        <f>+ROUND((Q48/AA48)*AF48*AI48,0)</f>
        <v>627241754</v>
      </c>
      <c r="AK48" s="513"/>
      <c r="AL48" s="513"/>
      <c r="AM48" s="513"/>
      <c r="AN48" s="513"/>
      <c r="AP48" s="406">
        <v>44014</v>
      </c>
    </row>
    <row r="49" spans="1:42" ht="35.1" customHeight="1" x14ac:dyDescent="0.25">
      <c r="A49" s="509"/>
      <c r="B49" s="509"/>
      <c r="C49" s="509"/>
      <c r="D49" s="509"/>
      <c r="E49" s="509"/>
      <c r="F49" s="509"/>
      <c r="G49" s="509"/>
      <c r="H49" s="509"/>
      <c r="I49" s="509"/>
      <c r="J49" s="509"/>
      <c r="K49" s="509"/>
      <c r="L49" s="509"/>
      <c r="M49" s="509"/>
      <c r="N49" s="509"/>
      <c r="O49" s="509"/>
      <c r="P49" s="509"/>
      <c r="Q49" s="510">
        <v>17103112136</v>
      </c>
      <c r="R49" s="511"/>
      <c r="S49" s="511"/>
      <c r="T49" s="512"/>
      <c r="U49" s="645">
        <v>43826</v>
      </c>
      <c r="V49" s="645"/>
      <c r="W49" s="645"/>
      <c r="X49" s="645"/>
      <c r="Y49" s="507"/>
      <c r="Z49" s="507"/>
      <c r="AA49" s="509">
        <f>360+7*30</f>
        <v>570</v>
      </c>
      <c r="AB49" s="509"/>
      <c r="AC49" s="384"/>
      <c r="AD49" s="384" t="s">
        <v>533</v>
      </c>
      <c r="AE49" s="384"/>
      <c r="AF49" s="385">
        <v>0.45</v>
      </c>
      <c r="AG49" s="385">
        <f t="shared" si="4"/>
        <v>0.33157894736842103</v>
      </c>
      <c r="AH49" s="407">
        <f t="shared" si="5"/>
        <v>189</v>
      </c>
      <c r="AI49" s="407">
        <f t="shared" si="6"/>
        <v>381</v>
      </c>
      <c r="AJ49" s="513">
        <f t="shared" ref="AJ49:AJ53" si="7">+ROUND((Q49/AA49)*AF49*AI49,0)</f>
        <v>5144436098</v>
      </c>
      <c r="AK49" s="513"/>
      <c r="AL49" s="513"/>
      <c r="AM49" s="513"/>
      <c r="AN49" s="513"/>
      <c r="AP49" s="406">
        <v>44014</v>
      </c>
    </row>
    <row r="50" spans="1:42" ht="35.1" customHeight="1" x14ac:dyDescent="0.25">
      <c r="A50" s="509"/>
      <c r="B50" s="509"/>
      <c r="C50" s="509"/>
      <c r="D50" s="509"/>
      <c r="E50" s="509"/>
      <c r="F50" s="509"/>
      <c r="G50" s="509"/>
      <c r="H50" s="509"/>
      <c r="I50" s="509"/>
      <c r="J50" s="509"/>
      <c r="K50" s="509"/>
      <c r="L50" s="509"/>
      <c r="M50" s="509"/>
      <c r="N50" s="509"/>
      <c r="O50" s="509"/>
      <c r="P50" s="509"/>
      <c r="Q50" s="510">
        <v>1425074555</v>
      </c>
      <c r="R50" s="511"/>
      <c r="S50" s="511"/>
      <c r="T50" s="512"/>
      <c r="U50" s="506">
        <v>43728</v>
      </c>
      <c r="V50" s="506"/>
      <c r="W50" s="506"/>
      <c r="X50" s="506"/>
      <c r="Y50" s="507"/>
      <c r="Z50" s="507"/>
      <c r="AA50" s="509">
        <v>360</v>
      </c>
      <c r="AB50" s="509"/>
      <c r="AC50" s="384" t="s">
        <v>533</v>
      </c>
      <c r="AD50" s="384"/>
      <c r="AE50" s="384"/>
      <c r="AF50" s="385">
        <v>1</v>
      </c>
      <c r="AG50" s="385">
        <f t="shared" si="4"/>
        <v>0.79722222222222228</v>
      </c>
      <c r="AH50" s="407">
        <f t="shared" si="5"/>
        <v>287</v>
      </c>
      <c r="AI50" s="407">
        <f t="shared" si="6"/>
        <v>73</v>
      </c>
      <c r="AJ50" s="513">
        <f t="shared" si="7"/>
        <v>288973451</v>
      </c>
      <c r="AK50" s="513"/>
      <c r="AL50" s="513"/>
      <c r="AM50" s="513"/>
      <c r="AN50" s="513"/>
      <c r="AP50" s="406">
        <v>44014</v>
      </c>
    </row>
    <row r="51" spans="1:42" ht="35.1" customHeight="1" x14ac:dyDescent="0.25">
      <c r="A51" s="509"/>
      <c r="B51" s="509"/>
      <c r="C51" s="509"/>
      <c r="D51" s="509"/>
      <c r="E51" s="509"/>
      <c r="F51" s="509"/>
      <c r="G51" s="509"/>
      <c r="H51" s="509"/>
      <c r="I51" s="509"/>
      <c r="J51" s="509"/>
      <c r="K51" s="509"/>
      <c r="L51" s="509"/>
      <c r="M51" s="509"/>
      <c r="N51" s="509"/>
      <c r="O51" s="509"/>
      <c r="P51" s="509"/>
      <c r="Q51" s="510">
        <v>1818542736</v>
      </c>
      <c r="R51" s="511"/>
      <c r="S51" s="511"/>
      <c r="T51" s="512"/>
      <c r="U51" s="506">
        <v>44013</v>
      </c>
      <c r="V51" s="506"/>
      <c r="W51" s="506"/>
      <c r="X51" s="506"/>
      <c r="Y51" s="507"/>
      <c r="Z51" s="507"/>
      <c r="AA51" s="509">
        <f>5*30</f>
        <v>150</v>
      </c>
      <c r="AB51" s="509"/>
      <c r="AC51" s="384" t="s">
        <v>533</v>
      </c>
      <c r="AD51" s="384"/>
      <c r="AE51" s="384"/>
      <c r="AF51" s="385">
        <v>1</v>
      </c>
      <c r="AG51" s="385">
        <f t="shared" si="4"/>
        <v>1.3333333333333334E-2</v>
      </c>
      <c r="AH51" s="407">
        <f t="shared" si="5"/>
        <v>2</v>
      </c>
      <c r="AI51" s="407">
        <f t="shared" si="6"/>
        <v>148</v>
      </c>
      <c r="AJ51" s="513">
        <f t="shared" si="7"/>
        <v>1794295500</v>
      </c>
      <c r="AK51" s="513"/>
      <c r="AL51" s="513"/>
      <c r="AM51" s="513"/>
      <c r="AN51" s="513"/>
      <c r="AP51" s="406">
        <v>44014</v>
      </c>
    </row>
    <row r="52" spans="1:42" ht="35.1" customHeight="1" x14ac:dyDescent="0.25">
      <c r="A52" s="509"/>
      <c r="B52" s="509"/>
      <c r="C52" s="509"/>
      <c r="D52" s="509"/>
      <c r="E52" s="509"/>
      <c r="F52" s="509"/>
      <c r="G52" s="509"/>
      <c r="H52" s="509"/>
      <c r="I52" s="509"/>
      <c r="J52" s="509"/>
      <c r="K52" s="509"/>
      <c r="L52" s="509"/>
      <c r="M52" s="509"/>
      <c r="N52" s="509"/>
      <c r="O52" s="509"/>
      <c r="P52" s="509"/>
      <c r="Q52" s="510">
        <v>986142091</v>
      </c>
      <c r="R52" s="511"/>
      <c r="S52" s="511"/>
      <c r="T52" s="512"/>
      <c r="U52" s="506">
        <v>43805</v>
      </c>
      <c r="V52" s="506"/>
      <c r="W52" s="506"/>
      <c r="X52" s="506"/>
      <c r="Y52" s="507"/>
      <c r="Z52" s="507"/>
      <c r="AA52" s="509">
        <f>8*30</f>
        <v>240</v>
      </c>
      <c r="AB52" s="509"/>
      <c r="AC52" s="384" t="s">
        <v>533</v>
      </c>
      <c r="AD52" s="384"/>
      <c r="AE52" s="384"/>
      <c r="AF52" s="385">
        <v>1</v>
      </c>
      <c r="AG52" s="385">
        <f t="shared" si="4"/>
        <v>0.875</v>
      </c>
      <c r="AH52" s="407">
        <f t="shared" si="5"/>
        <v>210</v>
      </c>
      <c r="AI52" s="407">
        <f t="shared" si="6"/>
        <v>30</v>
      </c>
      <c r="AJ52" s="513">
        <f t="shared" si="7"/>
        <v>123267761</v>
      </c>
      <c r="AK52" s="513"/>
      <c r="AL52" s="513"/>
      <c r="AM52" s="513"/>
      <c r="AN52" s="513"/>
      <c r="AP52" s="406">
        <v>44014</v>
      </c>
    </row>
    <row r="53" spans="1:42" ht="35.1" customHeight="1" x14ac:dyDescent="0.25">
      <c r="A53" s="509"/>
      <c r="B53" s="509"/>
      <c r="C53" s="509"/>
      <c r="D53" s="509"/>
      <c r="E53" s="509"/>
      <c r="F53" s="509"/>
      <c r="G53" s="509"/>
      <c r="H53" s="509"/>
      <c r="I53" s="509"/>
      <c r="J53" s="509"/>
      <c r="K53" s="509"/>
      <c r="L53" s="509"/>
      <c r="M53" s="509"/>
      <c r="N53" s="509"/>
      <c r="O53" s="509"/>
      <c r="P53" s="509"/>
      <c r="Q53" s="510">
        <v>4183685760</v>
      </c>
      <c r="R53" s="511"/>
      <c r="S53" s="511"/>
      <c r="T53" s="512"/>
      <c r="U53" s="506">
        <v>43644</v>
      </c>
      <c r="V53" s="506"/>
      <c r="W53" s="506"/>
      <c r="X53" s="506"/>
      <c r="Y53" s="507"/>
      <c r="Z53" s="507"/>
      <c r="AA53" s="509">
        <f>360+3*30</f>
        <v>450</v>
      </c>
      <c r="AB53" s="509"/>
      <c r="AC53" s="384" t="s">
        <v>533</v>
      </c>
      <c r="AD53" s="384"/>
      <c r="AE53" s="384"/>
      <c r="AF53" s="385">
        <v>1</v>
      </c>
      <c r="AG53" s="385">
        <f t="shared" si="4"/>
        <v>0.82444444444444442</v>
      </c>
      <c r="AH53" s="407">
        <f t="shared" si="5"/>
        <v>371</v>
      </c>
      <c r="AI53" s="407">
        <f t="shared" si="6"/>
        <v>79</v>
      </c>
      <c r="AJ53" s="513">
        <f t="shared" si="7"/>
        <v>734469278</v>
      </c>
      <c r="AK53" s="513"/>
      <c r="AL53" s="513"/>
      <c r="AM53" s="513"/>
      <c r="AN53" s="513"/>
      <c r="AP53" s="406">
        <v>44014</v>
      </c>
    </row>
    <row r="54" spans="1:42" x14ac:dyDescent="0.25">
      <c r="AD54" s="605" t="s">
        <v>802</v>
      </c>
      <c r="AE54" s="605"/>
      <c r="AF54" s="605"/>
      <c r="AG54" s="605"/>
      <c r="AH54" s="605"/>
      <c r="AI54" s="605"/>
      <c r="AJ54" s="606">
        <f>SUM(AJ47:AN53)</f>
        <v>12066580461</v>
      </c>
      <c r="AK54" s="607"/>
      <c r="AL54" s="607"/>
      <c r="AM54" s="607"/>
      <c r="AN54" s="607"/>
    </row>
    <row r="55" spans="1:42" s="374" customFormat="1" x14ac:dyDescent="0.25">
      <c r="A55" s="378" t="s">
        <v>801</v>
      </c>
      <c r="B55" s="370"/>
      <c r="C55" s="370"/>
      <c r="D55" s="370"/>
      <c r="E55" s="379"/>
      <c r="F55" s="379"/>
      <c r="G55" s="379"/>
      <c r="H55" s="378">
        <f>+B20</f>
        <v>0</v>
      </c>
      <c r="I55" s="370"/>
      <c r="J55" s="370"/>
      <c r="K55" s="370"/>
      <c r="L55" s="370"/>
      <c r="M55" s="370"/>
      <c r="N55" s="370"/>
      <c r="O55" s="370"/>
      <c r="P55" s="370"/>
      <c r="Q55" s="370"/>
      <c r="R55" s="370"/>
      <c r="S55" s="379"/>
      <c r="T55" s="379"/>
      <c r="U55" s="379"/>
      <c r="V55" s="379"/>
      <c r="W55" s="379"/>
      <c r="X55" s="379"/>
      <c r="Y55" s="379"/>
      <c r="Z55" s="379"/>
      <c r="AA55" s="379"/>
      <c r="AB55" s="379"/>
      <c r="AC55" s="380"/>
      <c r="AD55" s="380"/>
      <c r="AE55" s="380"/>
      <c r="AF55" s="381"/>
      <c r="AG55" s="382"/>
      <c r="AH55" s="383"/>
      <c r="AI55" s="383"/>
      <c r="AJ55" s="379"/>
      <c r="AK55" s="379"/>
      <c r="AL55" s="379"/>
      <c r="AM55" s="379"/>
      <c r="AN55" s="379"/>
    </row>
    <row r="56" spans="1:42" ht="35.1" customHeight="1" x14ac:dyDescent="0.25">
      <c r="A56" s="509"/>
      <c r="B56" s="509"/>
      <c r="C56" s="509"/>
      <c r="D56" s="509"/>
      <c r="E56" s="509"/>
      <c r="F56" s="509"/>
      <c r="G56" s="509"/>
      <c r="H56" s="509"/>
      <c r="I56" s="509"/>
      <c r="J56" s="509"/>
      <c r="K56" s="509"/>
      <c r="L56" s="509"/>
      <c r="M56" s="509"/>
      <c r="N56" s="509"/>
      <c r="O56" s="509"/>
      <c r="P56" s="509"/>
      <c r="Q56" s="510"/>
      <c r="R56" s="511"/>
      <c r="S56" s="511"/>
      <c r="T56" s="512"/>
      <c r="U56" s="506"/>
      <c r="V56" s="506"/>
      <c r="W56" s="506"/>
      <c r="X56" s="506"/>
      <c r="Y56" s="507"/>
      <c r="Z56" s="507"/>
      <c r="AA56" s="509"/>
      <c r="AB56" s="509"/>
      <c r="AC56" s="384"/>
      <c r="AD56" s="384"/>
      <c r="AE56" s="384"/>
      <c r="AF56" s="385"/>
      <c r="AG56" s="385"/>
      <c r="AH56" s="407"/>
      <c r="AI56" s="407"/>
      <c r="AJ56" s="513"/>
      <c r="AK56" s="513"/>
      <c r="AL56" s="513"/>
      <c r="AM56" s="513"/>
      <c r="AN56" s="513"/>
      <c r="AP56" s="406"/>
    </row>
    <row r="57" spans="1:42" ht="35.1" customHeight="1" x14ac:dyDescent="0.25">
      <c r="A57" s="509"/>
      <c r="B57" s="509"/>
      <c r="C57" s="509"/>
      <c r="D57" s="509"/>
      <c r="E57" s="509"/>
      <c r="F57" s="509"/>
      <c r="G57" s="509"/>
      <c r="H57" s="509"/>
      <c r="I57" s="509"/>
      <c r="J57" s="509"/>
      <c r="K57" s="509"/>
      <c r="L57" s="509"/>
      <c r="M57" s="509"/>
      <c r="N57" s="509"/>
      <c r="O57" s="509"/>
      <c r="P57" s="509"/>
      <c r="Q57" s="510"/>
      <c r="R57" s="511"/>
      <c r="S57" s="511"/>
      <c r="T57" s="512"/>
      <c r="U57" s="506"/>
      <c r="V57" s="506"/>
      <c r="W57" s="506"/>
      <c r="X57" s="506"/>
      <c r="Y57" s="507"/>
      <c r="Z57" s="507"/>
      <c r="AA57" s="509"/>
      <c r="AB57" s="509"/>
      <c r="AC57" s="384"/>
      <c r="AD57" s="384"/>
      <c r="AE57" s="384"/>
      <c r="AF57" s="385"/>
      <c r="AG57" s="385"/>
      <c r="AH57" s="407"/>
      <c r="AI57" s="407"/>
      <c r="AJ57" s="513"/>
      <c r="AK57" s="513"/>
      <c r="AL57" s="513"/>
      <c r="AM57" s="513"/>
      <c r="AN57" s="513"/>
      <c r="AP57" s="406"/>
    </row>
    <row r="58" spans="1:42" x14ac:dyDescent="0.25">
      <c r="AD58" s="605" t="s">
        <v>802</v>
      </c>
      <c r="AE58" s="605"/>
      <c r="AF58" s="605"/>
      <c r="AG58" s="605"/>
      <c r="AH58" s="605"/>
      <c r="AI58" s="605"/>
      <c r="AJ58" s="606">
        <f>SUM(AJ56:AN57)</f>
        <v>0</v>
      </c>
      <c r="AK58" s="607"/>
      <c r="AL58" s="607"/>
      <c r="AM58" s="607"/>
      <c r="AN58" s="607"/>
    </row>
    <row r="59" spans="1:42" ht="15.75" thickBot="1" x14ac:dyDescent="0.3"/>
    <row r="60" spans="1:42" ht="15.75" thickBot="1" x14ac:dyDescent="0.3">
      <c r="A60" s="386" t="s">
        <v>804</v>
      </c>
      <c r="F60" s="386" t="str">
        <f>+B18</f>
        <v>FERNANDO JOSE CASTRO SPADAFFORA</v>
      </c>
      <c r="M60" s="386" t="s">
        <v>805</v>
      </c>
      <c r="T60" s="387" t="s">
        <v>805</v>
      </c>
      <c r="U60" s="608">
        <f>+AC18*((AI18+AK18+AM18)/100)-AJ45</f>
        <v>57573302517</v>
      </c>
      <c r="V60" s="609"/>
      <c r="W60" s="609"/>
      <c r="X60" s="609"/>
      <c r="Y60" s="609"/>
      <c r="Z60" s="609"/>
      <c r="AA60" s="609"/>
      <c r="AB60" s="610"/>
      <c r="AD60" s="454"/>
    </row>
    <row r="61" spans="1:42" ht="15.75" thickBot="1" x14ac:dyDescent="0.3">
      <c r="T61" s="387"/>
      <c r="AD61" s="454"/>
    </row>
    <row r="62" spans="1:42" ht="15.75" thickBot="1" x14ac:dyDescent="0.3">
      <c r="A62" s="386" t="s">
        <v>804</v>
      </c>
      <c r="F62" s="386" t="str">
        <f>+B19</f>
        <v>ASESORIA CONSULTORIA Y GESTION COLOMBIA SAS</v>
      </c>
      <c r="M62" s="386" t="s">
        <v>805</v>
      </c>
      <c r="T62" s="387" t="s">
        <v>805</v>
      </c>
      <c r="U62" s="608">
        <f>+AC19*((AI19+AK19+AM19)/100)-AJ54</f>
        <v>22906925539</v>
      </c>
      <c r="V62" s="609"/>
      <c r="W62" s="609"/>
      <c r="X62" s="609"/>
      <c r="Y62" s="609"/>
      <c r="Z62" s="609"/>
      <c r="AA62" s="609"/>
      <c r="AB62" s="610"/>
      <c r="AD62" s="454"/>
    </row>
    <row r="63" spans="1:42" ht="15.75" thickBot="1" x14ac:dyDescent="0.3">
      <c r="T63" s="387"/>
    </row>
    <row r="64" spans="1:42" ht="15.75" thickBot="1" x14ac:dyDescent="0.3">
      <c r="A64" s="386" t="s">
        <v>804</v>
      </c>
      <c r="F64" s="386">
        <f>+B20</f>
        <v>0</v>
      </c>
      <c r="M64" s="386" t="s">
        <v>805</v>
      </c>
      <c r="T64" s="387" t="s">
        <v>805</v>
      </c>
      <c r="U64" s="608">
        <f>+AD20*((AI20+AK20+AM20)/100)-AJ58</f>
        <v>0</v>
      </c>
      <c r="V64" s="609"/>
      <c r="W64" s="609"/>
      <c r="X64" s="609"/>
      <c r="Y64" s="609"/>
      <c r="Z64" s="609"/>
      <c r="AA64" s="609"/>
      <c r="AB64" s="610"/>
    </row>
    <row r="65" spans="1:42" ht="15.75" thickBot="1" x14ac:dyDescent="0.3">
      <c r="T65" s="387"/>
    </row>
    <row r="66" spans="1:42" ht="15.75" thickBot="1" x14ac:dyDescent="0.3">
      <c r="A66" s="386" t="s">
        <v>804</v>
      </c>
      <c r="F66" s="386" t="str">
        <f>+A11</f>
        <v>CONSORCIO TULCAN 2020</v>
      </c>
      <c r="M66" s="386" t="s">
        <v>805</v>
      </c>
      <c r="T66" s="387" t="s">
        <v>805</v>
      </c>
      <c r="U66" s="608">
        <f>SUM(U60:AB65)</f>
        <v>80480228056</v>
      </c>
      <c r="V66" s="609"/>
      <c r="W66" s="609"/>
      <c r="X66" s="609"/>
      <c r="Y66" s="609"/>
      <c r="Z66" s="609"/>
      <c r="AA66" s="609"/>
      <c r="AB66" s="610"/>
      <c r="AD66" s="611" t="str">
        <f>+IF(AI14&lt;=U66,"CUMPLE","NO CUMPLE")</f>
        <v>CUMPLE</v>
      </c>
      <c r="AE66" s="611"/>
      <c r="AF66" s="611"/>
      <c r="AH66" s="454"/>
    </row>
    <row r="68" spans="1:42" x14ac:dyDescent="0.25">
      <c r="A68" s="530" t="s">
        <v>767</v>
      </c>
      <c r="B68" s="530"/>
      <c r="C68" s="530"/>
      <c r="D68" s="530"/>
      <c r="E68" s="530"/>
      <c r="F68" s="530"/>
      <c r="G68" s="530"/>
      <c r="H68" s="530"/>
      <c r="I68" s="530"/>
      <c r="J68" s="530"/>
      <c r="K68" s="530"/>
      <c r="L68" s="530"/>
      <c r="M68" s="530"/>
      <c r="N68" s="530"/>
      <c r="O68" s="530"/>
      <c r="P68" s="530"/>
      <c r="Q68" s="530"/>
      <c r="R68" s="530"/>
      <c r="S68" s="530"/>
      <c r="T68" s="530"/>
      <c r="U68" s="530"/>
      <c r="V68" s="530"/>
      <c r="W68" s="530"/>
      <c r="X68" s="530"/>
      <c r="Y68" s="530"/>
      <c r="Z68" s="530"/>
      <c r="AA68" s="530"/>
      <c r="AB68" s="530"/>
      <c r="AC68" s="530"/>
      <c r="AD68" s="530"/>
      <c r="AE68" s="530"/>
      <c r="AF68" s="530"/>
      <c r="AG68" s="530"/>
      <c r="AH68" s="530"/>
      <c r="AI68" s="530"/>
      <c r="AJ68" s="530"/>
      <c r="AK68" s="530"/>
      <c r="AL68" s="530"/>
      <c r="AM68" s="530"/>
      <c r="AN68" s="530"/>
    </row>
    <row r="69" spans="1:42" x14ac:dyDescent="0.25">
      <c r="A69" s="530">
        <v>2</v>
      </c>
      <c r="B69" s="530"/>
      <c r="C69" s="530"/>
      <c r="D69" s="530"/>
      <c r="E69" s="530"/>
      <c r="F69" s="530"/>
      <c r="G69" s="530"/>
      <c r="H69" s="530"/>
      <c r="I69" s="530"/>
      <c r="J69" s="530"/>
      <c r="K69" s="530"/>
      <c r="L69" s="530"/>
      <c r="M69" s="530"/>
      <c r="N69" s="530"/>
      <c r="O69" s="530"/>
      <c r="P69" s="530"/>
      <c r="Q69" s="530"/>
      <c r="R69" s="530"/>
      <c r="S69" s="530"/>
      <c r="T69" s="530"/>
      <c r="U69" s="530"/>
      <c r="V69" s="530"/>
      <c r="W69" s="530"/>
      <c r="X69" s="530"/>
      <c r="Y69" s="530"/>
      <c r="Z69" s="530"/>
      <c r="AA69" s="530"/>
      <c r="AB69" s="530"/>
      <c r="AC69" s="530"/>
      <c r="AD69" s="530"/>
      <c r="AE69" s="530"/>
      <c r="AF69" s="530"/>
      <c r="AG69" s="530"/>
      <c r="AH69" s="530"/>
      <c r="AI69" s="530"/>
      <c r="AJ69" s="530"/>
      <c r="AK69" s="530"/>
      <c r="AL69" s="530"/>
      <c r="AM69" s="530"/>
      <c r="AN69" s="530"/>
    </row>
    <row r="70" spans="1:42" x14ac:dyDescent="0.25">
      <c r="A70" s="531" t="str">
        <f>+'VERIFICACIÓN TÉCNICA'!E10</f>
        <v>CONSORCIO UNIDEPOR 2020</v>
      </c>
      <c r="B70" s="531"/>
      <c r="C70" s="531"/>
      <c r="D70" s="531"/>
      <c r="E70" s="531"/>
      <c r="F70" s="531"/>
      <c r="G70" s="531"/>
      <c r="H70" s="531"/>
      <c r="I70" s="531"/>
      <c r="J70" s="531"/>
      <c r="K70" s="531"/>
      <c r="L70" s="531"/>
      <c r="M70" s="531"/>
      <c r="N70" s="531"/>
      <c r="O70" s="531"/>
      <c r="P70" s="531"/>
      <c r="Q70" s="531"/>
      <c r="R70" s="531"/>
      <c r="S70" s="531"/>
      <c r="T70" s="531"/>
      <c r="U70" s="531"/>
      <c r="V70" s="531"/>
      <c r="W70" s="531"/>
      <c r="X70" s="531"/>
      <c r="Y70" s="531"/>
      <c r="Z70" s="531"/>
      <c r="AA70" s="531"/>
      <c r="AB70" s="531"/>
      <c r="AC70" s="531"/>
      <c r="AD70" s="531"/>
      <c r="AE70" s="531"/>
      <c r="AF70" s="531"/>
      <c r="AG70" s="531"/>
      <c r="AH70" s="531"/>
      <c r="AI70" s="531"/>
      <c r="AJ70" s="531"/>
      <c r="AK70" s="531"/>
      <c r="AL70" s="531"/>
      <c r="AM70" s="531"/>
      <c r="AN70" s="531"/>
    </row>
    <row r="71" spans="1:42" x14ac:dyDescent="0.25">
      <c r="A71" s="531" t="s">
        <v>808</v>
      </c>
      <c r="B71" s="531"/>
      <c r="C71" s="531"/>
      <c r="D71" s="531"/>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531"/>
      <c r="AC71" s="531"/>
      <c r="AD71" s="531"/>
      <c r="AE71" s="531"/>
      <c r="AF71" s="531"/>
      <c r="AG71" s="531"/>
      <c r="AH71" s="531"/>
      <c r="AI71" s="531"/>
      <c r="AJ71" s="531"/>
      <c r="AK71" s="531"/>
      <c r="AL71" s="531"/>
      <c r="AM71" s="531"/>
      <c r="AN71" s="531"/>
    </row>
    <row r="73" spans="1:42" s="369" customFormat="1" ht="30" customHeight="1" x14ac:dyDescent="0.25">
      <c r="A73" s="532" t="s">
        <v>768</v>
      </c>
      <c r="B73" s="532"/>
      <c r="C73" s="532"/>
      <c r="D73" s="532"/>
      <c r="E73" s="532"/>
      <c r="F73" s="532"/>
      <c r="G73" s="532"/>
      <c r="H73" s="532"/>
      <c r="I73" s="533">
        <f>+$I$14</f>
        <v>7067912240</v>
      </c>
      <c r="J73" s="533"/>
      <c r="K73" s="533"/>
      <c r="L73" s="533"/>
      <c r="M73" s="533"/>
      <c r="N73" s="533"/>
      <c r="O73" s="534" t="s">
        <v>769</v>
      </c>
      <c r="P73" s="534"/>
      <c r="Q73" s="534"/>
      <c r="R73" s="534"/>
      <c r="S73" s="534"/>
      <c r="T73" s="534"/>
      <c r="U73" s="525">
        <f>+$U$14</f>
        <v>12</v>
      </c>
      <c r="V73" s="525"/>
      <c r="W73" s="525"/>
      <c r="X73" s="525"/>
      <c r="Y73" s="525"/>
      <c r="Z73" s="525"/>
      <c r="AA73" s="534" t="s">
        <v>770</v>
      </c>
      <c r="AB73" s="534"/>
      <c r="AC73" s="534"/>
      <c r="AD73" s="534"/>
      <c r="AE73" s="534"/>
      <c r="AF73" s="534"/>
      <c r="AG73" s="534"/>
      <c r="AH73" s="534"/>
      <c r="AI73" s="533">
        <f>IF(U73&gt;12,(I73-I74)/U73*12,I73-I74)</f>
        <v>5654329792</v>
      </c>
      <c r="AJ73" s="533"/>
      <c r="AK73" s="533"/>
      <c r="AL73" s="533"/>
      <c r="AM73" s="533"/>
      <c r="AN73" s="533"/>
    </row>
    <row r="74" spans="1:42" s="369" customFormat="1" ht="30" customHeight="1" x14ac:dyDescent="0.25">
      <c r="A74" s="532" t="s">
        <v>771</v>
      </c>
      <c r="B74" s="532"/>
      <c r="C74" s="532"/>
      <c r="D74" s="532"/>
      <c r="E74" s="532"/>
      <c r="F74" s="532"/>
      <c r="G74" s="532"/>
      <c r="H74" s="532"/>
      <c r="I74" s="533">
        <f>+ROUND(0.2*I73,0)</f>
        <v>1413582448</v>
      </c>
      <c r="J74" s="533"/>
      <c r="K74" s="533"/>
      <c r="L74" s="533"/>
      <c r="M74" s="533"/>
      <c r="N74" s="533"/>
      <c r="O74" s="534" t="s">
        <v>772</v>
      </c>
      <c r="P74" s="534"/>
      <c r="Q74" s="534"/>
      <c r="R74" s="534"/>
      <c r="S74" s="534"/>
      <c r="T74" s="534"/>
      <c r="U74" s="533">
        <f>+$U$15</f>
        <v>3723.67</v>
      </c>
      <c r="V74" s="533"/>
      <c r="W74" s="533"/>
      <c r="X74" s="533"/>
      <c r="Y74" s="533"/>
      <c r="Z74" s="533"/>
      <c r="AA74" s="525" t="s">
        <v>773</v>
      </c>
      <c r="AB74" s="525"/>
      <c r="AC74" s="525"/>
      <c r="AD74" s="525"/>
      <c r="AE74" s="525"/>
      <c r="AF74" s="525"/>
      <c r="AG74" s="525"/>
      <c r="AH74" s="525"/>
      <c r="AI74" s="526">
        <f>U74*125000</f>
        <v>465458750</v>
      </c>
      <c r="AJ74" s="527"/>
      <c r="AK74" s="527"/>
      <c r="AL74" s="527"/>
      <c r="AM74" s="527"/>
      <c r="AN74" s="528"/>
    </row>
    <row r="75" spans="1:42" s="374" customFormat="1" ht="7.5" customHeight="1" x14ac:dyDescent="0.25">
      <c r="A75" s="370"/>
      <c r="B75" s="370"/>
      <c r="C75" s="370"/>
      <c r="D75" s="370"/>
      <c r="E75" s="370"/>
      <c r="F75" s="370"/>
      <c r="G75" s="371"/>
      <c r="H75" s="371"/>
      <c r="I75" s="371"/>
      <c r="J75" s="371"/>
      <c r="K75" s="371"/>
      <c r="L75" s="371"/>
      <c r="M75" s="372"/>
      <c r="N75" s="372"/>
      <c r="O75" s="372"/>
      <c r="P75" s="372"/>
      <c r="Q75" s="372"/>
      <c r="R75" s="370"/>
      <c r="S75" s="372"/>
      <c r="T75" s="372"/>
      <c r="U75" s="372"/>
      <c r="V75" s="372"/>
      <c r="W75" s="372"/>
      <c r="X75" s="372"/>
      <c r="Y75" s="372"/>
      <c r="Z75" s="373"/>
      <c r="AA75" s="373"/>
      <c r="AB75" s="372"/>
      <c r="AC75" s="372"/>
      <c r="AD75" s="372"/>
      <c r="AE75" s="372"/>
      <c r="AF75" s="372"/>
      <c r="AG75" s="372"/>
      <c r="AH75" s="372"/>
      <c r="AI75" s="371"/>
      <c r="AJ75" s="371"/>
      <c r="AK75" s="371"/>
      <c r="AL75" s="371"/>
      <c r="AM75" s="371"/>
      <c r="AN75" s="371"/>
    </row>
    <row r="76" spans="1:42" s="376" customFormat="1" ht="75" customHeight="1" x14ac:dyDescent="0.25">
      <c r="A76" s="375" t="s">
        <v>774</v>
      </c>
      <c r="B76" s="525" t="s">
        <v>775</v>
      </c>
      <c r="C76" s="525"/>
      <c r="D76" s="525"/>
      <c r="E76" s="525"/>
      <c r="F76" s="525"/>
      <c r="G76" s="525"/>
      <c r="H76" s="525"/>
      <c r="I76" s="525"/>
      <c r="J76" s="535" t="s">
        <v>776</v>
      </c>
      <c r="K76" s="536"/>
      <c r="L76" s="537" t="s">
        <v>777</v>
      </c>
      <c r="M76" s="537"/>
      <c r="N76" s="537"/>
      <c r="O76" s="537"/>
      <c r="P76" s="537"/>
      <c r="Q76" s="538" t="s">
        <v>778</v>
      </c>
      <c r="R76" s="538"/>
      <c r="S76" s="534" t="s">
        <v>779</v>
      </c>
      <c r="T76" s="534"/>
      <c r="U76" s="538" t="s">
        <v>780</v>
      </c>
      <c r="V76" s="538"/>
      <c r="W76" s="613" t="s">
        <v>781</v>
      </c>
      <c r="X76" s="614"/>
      <c r="Y76" s="614"/>
      <c r="Z76" s="614"/>
      <c r="AA76" s="614"/>
      <c r="AB76" s="615"/>
      <c r="AC76" s="613" t="s">
        <v>782</v>
      </c>
      <c r="AD76" s="614"/>
      <c r="AE76" s="614"/>
      <c r="AF76" s="614"/>
      <c r="AG76" s="614"/>
      <c r="AH76" s="615"/>
      <c r="AI76" s="539" t="s">
        <v>783</v>
      </c>
      <c r="AJ76" s="539"/>
      <c r="AK76" s="539" t="s">
        <v>784</v>
      </c>
      <c r="AL76" s="539"/>
      <c r="AM76" s="539" t="s">
        <v>785</v>
      </c>
      <c r="AN76" s="539"/>
    </row>
    <row r="77" spans="1:42" s="369" customFormat="1" x14ac:dyDescent="0.25">
      <c r="A77" s="388">
        <v>1</v>
      </c>
      <c r="B77" s="534" t="s">
        <v>811</v>
      </c>
      <c r="C77" s="534"/>
      <c r="D77" s="534"/>
      <c r="E77" s="534"/>
      <c r="F77" s="534"/>
      <c r="G77" s="534"/>
      <c r="H77" s="534"/>
      <c r="I77" s="534"/>
      <c r="J77" s="546">
        <v>0.4</v>
      </c>
      <c r="K77" s="547"/>
      <c r="L77" s="548">
        <v>36818550441.110001</v>
      </c>
      <c r="M77" s="548"/>
      <c r="N77" s="548"/>
      <c r="O77" s="548"/>
      <c r="P77" s="548"/>
      <c r="Q77" s="612">
        <f>+L77/(I$73*J77)</f>
        <v>13.023135117871101</v>
      </c>
      <c r="R77" s="612"/>
      <c r="S77" s="541">
        <v>7.14</v>
      </c>
      <c r="T77" s="541"/>
      <c r="U77" s="541">
        <v>3</v>
      </c>
      <c r="V77" s="541"/>
      <c r="W77" s="616">
        <v>4398966216</v>
      </c>
      <c r="X77" s="617"/>
      <c r="Y77" s="617"/>
      <c r="Z77" s="617"/>
      <c r="AA77" s="617"/>
      <c r="AB77" s="618"/>
      <c r="AC77" s="619">
        <f>+IF(W77&lt;AI$119,AI$119,W77)</f>
        <v>4398966216</v>
      </c>
      <c r="AD77" s="620"/>
      <c r="AE77" s="620"/>
      <c r="AF77" s="620"/>
      <c r="AG77" s="620"/>
      <c r="AH77" s="621"/>
      <c r="AI77" s="540">
        <f>IF(Q77&gt;=0,IF(Q77&lt;=3,60,IF(Q77&lt;=6,80,IF(Q77&lt;=10,100,120))))</f>
        <v>120</v>
      </c>
      <c r="AJ77" s="540"/>
      <c r="AK77" s="540">
        <f>IF(S77&gt;=0,IF(S77&lt;0.5,20,IF(S77&lt;0.75,25,IF(S77&lt;1,30,IF(S77&lt;1.5,35,40)))))</f>
        <v>40</v>
      </c>
      <c r="AL77" s="540"/>
      <c r="AM77" s="540">
        <f>IF(U77&gt;=1,IF(U77&lt;=5,20,IF(U77&lt;=10,30,40)))</f>
        <v>20</v>
      </c>
      <c r="AN77" s="540"/>
    </row>
    <row r="78" spans="1:42" s="369" customFormat="1" ht="30.75" customHeight="1" x14ac:dyDescent="0.25">
      <c r="A78" s="388">
        <v>2</v>
      </c>
      <c r="B78" s="534" t="s">
        <v>812</v>
      </c>
      <c r="C78" s="534"/>
      <c r="D78" s="534"/>
      <c r="E78" s="534"/>
      <c r="F78" s="534"/>
      <c r="G78" s="534"/>
      <c r="H78" s="534"/>
      <c r="I78" s="534"/>
      <c r="J78" s="546">
        <v>0.3</v>
      </c>
      <c r="K78" s="547"/>
      <c r="L78" s="548">
        <v>16305513230</v>
      </c>
      <c r="M78" s="548"/>
      <c r="N78" s="548"/>
      <c r="O78" s="548"/>
      <c r="P78" s="548"/>
      <c r="Q78" s="612">
        <f t="shared" ref="Q78:Q79" si="8">+L78/(I$73*J78)</f>
        <v>7.6899243964957131</v>
      </c>
      <c r="R78" s="612"/>
      <c r="S78" s="541">
        <v>2.74</v>
      </c>
      <c r="T78" s="541"/>
      <c r="U78" s="541">
        <v>11</v>
      </c>
      <c r="V78" s="541"/>
      <c r="W78" s="616">
        <v>0</v>
      </c>
      <c r="X78" s="617"/>
      <c r="Y78" s="617"/>
      <c r="Z78" s="617"/>
      <c r="AA78" s="617"/>
      <c r="AB78" s="618"/>
      <c r="AC78" s="619">
        <f>+IF(W78&lt;AI$119,AI$119,W78)</f>
        <v>465458750</v>
      </c>
      <c r="AD78" s="620"/>
      <c r="AE78" s="620"/>
      <c r="AF78" s="620"/>
      <c r="AG78" s="620"/>
      <c r="AH78" s="621"/>
      <c r="AI78" s="540">
        <f>IF(Q78&gt;=0,IF(Q78&lt;=3,60,IF(Q78&lt;=6,80,IF(Q78&lt;=10,100,120))))</f>
        <v>100</v>
      </c>
      <c r="AJ78" s="540"/>
      <c r="AK78" s="540">
        <f>IF(S78&gt;=0,IF(S78&lt;0.5,20,IF(S78&lt;0.75,25,IF(S78&lt;1,30,IF(S78&lt;1.5,35,40)))))</f>
        <v>40</v>
      </c>
      <c r="AL78" s="540"/>
      <c r="AM78" s="540">
        <f>IF(U78&gt;=1,IF(U78&lt;=5,20,IF(U78&lt;=10,30,40)))</f>
        <v>40</v>
      </c>
      <c r="AN78" s="540"/>
      <c r="AP78" s="389">
        <v>6486188284</v>
      </c>
    </row>
    <row r="79" spans="1:42" s="369" customFormat="1" x14ac:dyDescent="0.25">
      <c r="A79" s="388">
        <v>3</v>
      </c>
      <c r="B79" s="534" t="s">
        <v>813</v>
      </c>
      <c r="C79" s="534"/>
      <c r="D79" s="534"/>
      <c r="E79" s="534"/>
      <c r="F79" s="534"/>
      <c r="G79" s="534"/>
      <c r="H79" s="534"/>
      <c r="I79" s="534"/>
      <c r="J79" s="546">
        <v>0.3</v>
      </c>
      <c r="K79" s="547"/>
      <c r="L79" s="548">
        <v>65320801021</v>
      </c>
      <c r="M79" s="548"/>
      <c r="N79" s="548"/>
      <c r="O79" s="548"/>
      <c r="P79" s="548"/>
      <c r="Q79" s="612">
        <f t="shared" si="8"/>
        <v>30.806268670270491</v>
      </c>
      <c r="R79" s="612"/>
      <c r="S79" s="551">
        <v>21.5</v>
      </c>
      <c r="T79" s="551"/>
      <c r="U79" s="541">
        <v>1</v>
      </c>
      <c r="V79" s="541"/>
      <c r="W79" s="616">
        <v>20953835364</v>
      </c>
      <c r="X79" s="617"/>
      <c r="Y79" s="617"/>
      <c r="Z79" s="617"/>
      <c r="AA79" s="617"/>
      <c r="AB79" s="618"/>
      <c r="AC79" s="622">
        <f>+IF(W79&lt;AI$119,AI$119,W79)</f>
        <v>20953835364</v>
      </c>
      <c r="AD79" s="623"/>
      <c r="AE79" s="623"/>
      <c r="AF79" s="623"/>
      <c r="AG79" s="623"/>
      <c r="AH79" s="624"/>
      <c r="AI79" s="540">
        <f>IF(Q79&gt;=0,IF(Q79&lt;=3,60,IF(Q79&lt;=6,80,IF(Q79&lt;=10,100,120))))</f>
        <v>120</v>
      </c>
      <c r="AJ79" s="540"/>
      <c r="AK79" s="540">
        <f>IF(S79&gt;=0,IF(S79&lt;0.5,20,IF(S79&lt;0.75,25,IF(S79&lt;1,30,IF(S79&lt;1.5,35,40)))))</f>
        <v>40</v>
      </c>
      <c r="AL79" s="540"/>
      <c r="AM79" s="540">
        <f>IF(U79&gt;=1,IF(U79&lt;=5,20,IF(U79&lt;=10,30,40)))</f>
        <v>20</v>
      </c>
      <c r="AN79" s="540"/>
      <c r="AP79" s="389">
        <v>20953835364</v>
      </c>
    </row>
    <row r="80" spans="1:42" ht="15.75" thickBot="1" x14ac:dyDescent="0.3"/>
    <row r="81" spans="1:43" ht="15" customHeight="1" x14ac:dyDescent="0.25">
      <c r="A81" s="573" t="s">
        <v>786</v>
      </c>
      <c r="B81" s="559"/>
      <c r="C81" s="559"/>
      <c r="D81" s="559"/>
      <c r="E81" s="558" t="s">
        <v>806</v>
      </c>
      <c r="F81" s="559"/>
      <c r="G81" s="559"/>
      <c r="H81" s="576"/>
      <c r="I81" s="579" t="s">
        <v>788</v>
      </c>
      <c r="J81" s="580"/>
      <c r="K81" s="580"/>
      <c r="L81" s="580"/>
      <c r="M81" s="580"/>
      <c r="N81" s="580"/>
      <c r="O81" s="580"/>
      <c r="P81" s="581"/>
      <c r="Q81" s="579" t="s">
        <v>789</v>
      </c>
      <c r="R81" s="580"/>
      <c r="S81" s="580"/>
      <c r="T81" s="581"/>
      <c r="U81" s="558" t="s">
        <v>790</v>
      </c>
      <c r="V81" s="559"/>
      <c r="W81" s="564" t="s">
        <v>833</v>
      </c>
      <c r="X81" s="565"/>
      <c r="Y81" s="564" t="s">
        <v>921</v>
      </c>
      <c r="Z81" s="570"/>
      <c r="AA81" s="588" t="s">
        <v>791</v>
      </c>
      <c r="AB81" s="588"/>
      <c r="AC81" s="552" t="s">
        <v>792</v>
      </c>
      <c r="AD81" s="552"/>
      <c r="AE81" s="552"/>
      <c r="AF81" s="553" t="s">
        <v>793</v>
      </c>
      <c r="AG81" s="591" t="s">
        <v>817</v>
      </c>
      <c r="AH81" s="591"/>
      <c r="AI81" s="591"/>
      <c r="AJ81" s="591"/>
      <c r="AK81" s="591"/>
      <c r="AL81" s="591"/>
      <c r="AM81" s="591"/>
      <c r="AN81" s="592"/>
    </row>
    <row r="82" spans="1:43" ht="15" customHeight="1" x14ac:dyDescent="0.25">
      <c r="A82" s="574"/>
      <c r="B82" s="561"/>
      <c r="C82" s="561"/>
      <c r="D82" s="561"/>
      <c r="E82" s="560"/>
      <c r="F82" s="561"/>
      <c r="G82" s="561"/>
      <c r="H82" s="577"/>
      <c r="I82" s="582"/>
      <c r="J82" s="583"/>
      <c r="K82" s="583"/>
      <c r="L82" s="583"/>
      <c r="M82" s="583"/>
      <c r="N82" s="583"/>
      <c r="O82" s="583"/>
      <c r="P82" s="584"/>
      <c r="Q82" s="582"/>
      <c r="R82" s="583"/>
      <c r="S82" s="583"/>
      <c r="T82" s="584"/>
      <c r="U82" s="560"/>
      <c r="V82" s="561"/>
      <c r="W82" s="566"/>
      <c r="X82" s="567"/>
      <c r="Y82" s="566"/>
      <c r="Z82" s="571"/>
      <c r="AA82" s="534"/>
      <c r="AB82" s="534"/>
      <c r="AC82" s="525"/>
      <c r="AD82" s="525"/>
      <c r="AE82" s="525"/>
      <c r="AF82" s="554"/>
      <c r="AG82" s="593" t="s">
        <v>794</v>
      </c>
      <c r="AH82" s="596" t="s">
        <v>795</v>
      </c>
      <c r="AI82" s="596" t="s">
        <v>796</v>
      </c>
      <c r="AJ82" s="534" t="s">
        <v>797</v>
      </c>
      <c r="AK82" s="534"/>
      <c r="AL82" s="534"/>
      <c r="AM82" s="534"/>
      <c r="AN82" s="599"/>
    </row>
    <row r="83" spans="1:43" ht="15" customHeight="1" x14ac:dyDescent="0.25">
      <c r="A83" s="574"/>
      <c r="B83" s="561"/>
      <c r="C83" s="561"/>
      <c r="D83" s="561"/>
      <c r="E83" s="560"/>
      <c r="F83" s="561"/>
      <c r="G83" s="561"/>
      <c r="H83" s="577"/>
      <c r="I83" s="582"/>
      <c r="J83" s="583"/>
      <c r="K83" s="583"/>
      <c r="L83" s="583"/>
      <c r="M83" s="583"/>
      <c r="N83" s="583"/>
      <c r="O83" s="583"/>
      <c r="P83" s="584"/>
      <c r="Q83" s="582"/>
      <c r="R83" s="583"/>
      <c r="S83" s="583"/>
      <c r="T83" s="584"/>
      <c r="U83" s="560"/>
      <c r="V83" s="561"/>
      <c r="W83" s="566"/>
      <c r="X83" s="567"/>
      <c r="Y83" s="566"/>
      <c r="Z83" s="571"/>
      <c r="AA83" s="534"/>
      <c r="AB83" s="534"/>
      <c r="AC83" s="525"/>
      <c r="AD83" s="525"/>
      <c r="AE83" s="525"/>
      <c r="AF83" s="554"/>
      <c r="AG83" s="593"/>
      <c r="AH83" s="596"/>
      <c r="AI83" s="596"/>
      <c r="AJ83" s="534"/>
      <c r="AK83" s="534"/>
      <c r="AL83" s="534"/>
      <c r="AM83" s="534"/>
      <c r="AN83" s="599"/>
    </row>
    <row r="84" spans="1:43" ht="15" customHeight="1" x14ac:dyDescent="0.25">
      <c r="A84" s="574"/>
      <c r="B84" s="561"/>
      <c r="C84" s="561"/>
      <c r="D84" s="561"/>
      <c r="E84" s="560"/>
      <c r="F84" s="561"/>
      <c r="G84" s="561"/>
      <c r="H84" s="577"/>
      <c r="I84" s="582"/>
      <c r="J84" s="583"/>
      <c r="K84" s="583"/>
      <c r="L84" s="583"/>
      <c r="M84" s="583"/>
      <c r="N84" s="583"/>
      <c r="O84" s="583"/>
      <c r="P84" s="584"/>
      <c r="Q84" s="582"/>
      <c r="R84" s="583"/>
      <c r="S84" s="583"/>
      <c r="T84" s="584"/>
      <c r="U84" s="560"/>
      <c r="V84" s="561"/>
      <c r="W84" s="566"/>
      <c r="X84" s="567"/>
      <c r="Y84" s="566"/>
      <c r="Z84" s="571"/>
      <c r="AA84" s="534"/>
      <c r="AB84" s="534"/>
      <c r="AC84" s="602" t="s">
        <v>798</v>
      </c>
      <c r="AD84" s="602" t="s">
        <v>799</v>
      </c>
      <c r="AE84" s="602" t="s">
        <v>800</v>
      </c>
      <c r="AF84" s="554"/>
      <c r="AG84" s="593"/>
      <c r="AH84" s="596"/>
      <c r="AI84" s="596"/>
      <c r="AJ84" s="534"/>
      <c r="AK84" s="534"/>
      <c r="AL84" s="534"/>
      <c r="AM84" s="534"/>
      <c r="AN84" s="599"/>
    </row>
    <row r="85" spans="1:43" ht="15" customHeight="1" x14ac:dyDescent="0.25">
      <c r="A85" s="574"/>
      <c r="B85" s="561"/>
      <c r="C85" s="561"/>
      <c r="D85" s="561"/>
      <c r="E85" s="560"/>
      <c r="F85" s="561"/>
      <c r="G85" s="561"/>
      <c r="H85" s="577"/>
      <c r="I85" s="582"/>
      <c r="J85" s="583"/>
      <c r="K85" s="583"/>
      <c r="L85" s="583"/>
      <c r="M85" s="583"/>
      <c r="N85" s="583"/>
      <c r="O85" s="583"/>
      <c r="P85" s="584"/>
      <c r="Q85" s="582"/>
      <c r="R85" s="583"/>
      <c r="S85" s="583"/>
      <c r="T85" s="584"/>
      <c r="U85" s="560"/>
      <c r="V85" s="561"/>
      <c r="W85" s="566"/>
      <c r="X85" s="567"/>
      <c r="Y85" s="566"/>
      <c r="Z85" s="571"/>
      <c r="AA85" s="589"/>
      <c r="AB85" s="589"/>
      <c r="AC85" s="603"/>
      <c r="AD85" s="603"/>
      <c r="AE85" s="603"/>
      <c r="AF85" s="554"/>
      <c r="AG85" s="594"/>
      <c r="AH85" s="597"/>
      <c r="AI85" s="597"/>
      <c r="AJ85" s="589"/>
      <c r="AK85" s="589"/>
      <c r="AL85" s="589"/>
      <c r="AM85" s="589"/>
      <c r="AN85" s="600"/>
    </row>
    <row r="86" spans="1:43" ht="15.75" thickBot="1" x14ac:dyDescent="0.3">
      <c r="A86" s="575"/>
      <c r="B86" s="563"/>
      <c r="C86" s="563"/>
      <c r="D86" s="563"/>
      <c r="E86" s="562"/>
      <c r="F86" s="563"/>
      <c r="G86" s="563"/>
      <c r="H86" s="578"/>
      <c r="I86" s="585"/>
      <c r="J86" s="586"/>
      <c r="K86" s="586"/>
      <c r="L86" s="586"/>
      <c r="M86" s="586"/>
      <c r="N86" s="586"/>
      <c r="O86" s="586"/>
      <c r="P86" s="587"/>
      <c r="Q86" s="585"/>
      <c r="R86" s="586"/>
      <c r="S86" s="586"/>
      <c r="T86" s="587"/>
      <c r="U86" s="562"/>
      <c r="V86" s="563"/>
      <c r="W86" s="568"/>
      <c r="X86" s="569"/>
      <c r="Y86" s="568"/>
      <c r="Z86" s="572"/>
      <c r="AA86" s="590"/>
      <c r="AB86" s="590"/>
      <c r="AC86" s="604"/>
      <c r="AD86" s="604"/>
      <c r="AE86" s="604"/>
      <c r="AF86" s="555"/>
      <c r="AG86" s="595"/>
      <c r="AH86" s="598"/>
      <c r="AI86" s="598"/>
      <c r="AJ86" s="590"/>
      <c r="AK86" s="590"/>
      <c r="AL86" s="590"/>
      <c r="AM86" s="590"/>
      <c r="AN86" s="601"/>
    </row>
    <row r="87" spans="1:43" s="374" customFormat="1" x14ac:dyDescent="0.25">
      <c r="A87" s="378" t="s">
        <v>801</v>
      </c>
      <c r="B87" s="370"/>
      <c r="C87" s="370"/>
      <c r="D87" s="370"/>
      <c r="E87" s="379"/>
      <c r="F87" s="379"/>
      <c r="G87" s="379"/>
      <c r="H87" s="378" t="str">
        <f>+B77</f>
        <v>GAVIRIA SILVA MARCO JAVIER</v>
      </c>
      <c r="I87" s="370"/>
      <c r="J87" s="370"/>
      <c r="K87" s="370"/>
      <c r="L87" s="370"/>
      <c r="M87" s="370"/>
      <c r="N87" s="370"/>
      <c r="O87" s="370"/>
      <c r="P87" s="370"/>
      <c r="Q87" s="370"/>
      <c r="R87" s="370"/>
      <c r="S87" s="379"/>
      <c r="T87" s="379"/>
      <c r="U87" s="379"/>
      <c r="V87" s="379"/>
      <c r="W87" s="379"/>
      <c r="X87" s="379"/>
      <c r="Y87" s="379"/>
      <c r="Z87" s="379"/>
      <c r="AA87" s="379"/>
      <c r="AB87" s="379"/>
      <c r="AC87" s="380"/>
      <c r="AD87" s="380"/>
      <c r="AE87" s="380"/>
      <c r="AF87" s="381"/>
      <c r="AG87" s="382"/>
      <c r="AH87" s="383"/>
      <c r="AI87" s="383"/>
      <c r="AJ87" s="379"/>
      <c r="AK87" s="379"/>
      <c r="AL87" s="379"/>
      <c r="AM87" s="379"/>
      <c r="AN87" s="379"/>
    </row>
    <row r="88" spans="1:43" ht="35.1" customHeight="1" x14ac:dyDescent="0.25">
      <c r="A88" s="509"/>
      <c r="B88" s="509"/>
      <c r="C88" s="509"/>
      <c r="D88" s="509"/>
      <c r="E88" s="509"/>
      <c r="F88" s="509"/>
      <c r="G88" s="509"/>
      <c r="H88" s="509"/>
      <c r="I88" s="509"/>
      <c r="J88" s="509"/>
      <c r="K88" s="509"/>
      <c r="L88" s="509"/>
      <c r="M88" s="509"/>
      <c r="N88" s="509"/>
      <c r="O88" s="509"/>
      <c r="P88" s="509"/>
      <c r="Q88" s="510">
        <v>702004682</v>
      </c>
      <c r="R88" s="511"/>
      <c r="S88" s="511"/>
      <c r="T88" s="512"/>
      <c r="U88" s="506">
        <v>43098</v>
      </c>
      <c r="V88" s="506"/>
      <c r="W88" s="506"/>
      <c r="X88" s="506"/>
      <c r="Y88" s="507"/>
      <c r="Z88" s="507"/>
      <c r="AA88" s="509">
        <v>90</v>
      </c>
      <c r="AB88" s="509"/>
      <c r="AC88" s="435"/>
      <c r="AD88" s="435" t="s">
        <v>533</v>
      </c>
      <c r="AE88" s="435"/>
      <c r="AF88" s="385">
        <v>0.25</v>
      </c>
      <c r="AG88" s="385">
        <f>+AH88/AA88</f>
        <v>0</v>
      </c>
      <c r="AH88" s="459">
        <v>0</v>
      </c>
      <c r="AI88" s="407">
        <f>+AA88-AH88</f>
        <v>90</v>
      </c>
      <c r="AJ88" s="513">
        <f>+(Q88/AA88)*AF88*AI88</f>
        <v>175501170.5</v>
      </c>
      <c r="AK88" s="513"/>
      <c r="AL88" s="513"/>
      <c r="AM88" s="513"/>
      <c r="AN88" s="513"/>
      <c r="AP88" s="406">
        <v>44014</v>
      </c>
      <c r="AQ88" s="405">
        <v>3</v>
      </c>
    </row>
    <row r="89" spans="1:43" ht="35.1" customHeight="1" x14ac:dyDescent="0.25">
      <c r="A89" s="509"/>
      <c r="B89" s="509"/>
      <c r="C89" s="509"/>
      <c r="D89" s="509"/>
      <c r="E89" s="509"/>
      <c r="F89" s="509"/>
      <c r="G89" s="509"/>
      <c r="H89" s="509"/>
      <c r="I89" s="509"/>
      <c r="J89" s="509"/>
      <c r="K89" s="509"/>
      <c r="L89" s="509"/>
      <c r="M89" s="509"/>
      <c r="N89" s="509"/>
      <c r="O89" s="509"/>
      <c r="P89" s="509"/>
      <c r="Q89" s="510">
        <v>2783651285</v>
      </c>
      <c r="R89" s="511"/>
      <c r="S89" s="511"/>
      <c r="T89" s="512"/>
      <c r="U89" s="506">
        <v>43956</v>
      </c>
      <c r="V89" s="506"/>
      <c r="W89" s="506"/>
      <c r="X89" s="506"/>
      <c r="Y89" s="507"/>
      <c r="Z89" s="507"/>
      <c r="AA89" s="509">
        <v>150</v>
      </c>
      <c r="AB89" s="509"/>
      <c r="AC89" s="435"/>
      <c r="AD89" s="435" t="s">
        <v>533</v>
      </c>
      <c r="AE89" s="435"/>
      <c r="AF89" s="385">
        <v>0.33</v>
      </c>
      <c r="AG89" s="385">
        <f t="shared" ref="AG89:AG91" si="9">+AH89/AA89</f>
        <v>0</v>
      </c>
      <c r="AH89" s="459">
        <v>0</v>
      </c>
      <c r="AI89" s="407">
        <f t="shared" ref="AI89:AI91" si="10">+AA89-AH89</f>
        <v>150</v>
      </c>
      <c r="AJ89" s="513">
        <f t="shared" ref="AJ89:AJ91" si="11">+(Q89/AA89)*AF89*AI89</f>
        <v>918604924.05000007</v>
      </c>
      <c r="AK89" s="513"/>
      <c r="AL89" s="513"/>
      <c r="AM89" s="513"/>
      <c r="AN89" s="513"/>
      <c r="AP89" s="406">
        <v>44014</v>
      </c>
      <c r="AQ89" s="405">
        <v>5</v>
      </c>
    </row>
    <row r="90" spans="1:43" ht="35.1" customHeight="1" x14ac:dyDescent="0.25">
      <c r="A90" s="509"/>
      <c r="B90" s="509"/>
      <c r="C90" s="509"/>
      <c r="D90" s="509"/>
      <c r="E90" s="509"/>
      <c r="F90" s="509"/>
      <c r="G90" s="509"/>
      <c r="H90" s="509"/>
      <c r="I90" s="509"/>
      <c r="J90" s="509"/>
      <c r="K90" s="509"/>
      <c r="L90" s="509"/>
      <c r="M90" s="509"/>
      <c r="N90" s="509"/>
      <c r="O90" s="509"/>
      <c r="P90" s="509"/>
      <c r="Q90" s="510">
        <v>434324291</v>
      </c>
      <c r="R90" s="511"/>
      <c r="S90" s="511"/>
      <c r="T90" s="512"/>
      <c r="U90" s="506">
        <v>43761</v>
      </c>
      <c r="V90" s="506"/>
      <c r="W90" s="506"/>
      <c r="X90" s="506"/>
      <c r="Y90" s="507"/>
      <c r="Z90" s="507"/>
      <c r="AA90" s="509">
        <v>150</v>
      </c>
      <c r="AB90" s="509"/>
      <c r="AC90" s="435"/>
      <c r="AD90" s="435" t="s">
        <v>533</v>
      </c>
      <c r="AE90" s="435"/>
      <c r="AF90" s="385">
        <v>0.5</v>
      </c>
      <c r="AG90" s="385">
        <f t="shared" si="9"/>
        <v>0</v>
      </c>
      <c r="AH90" s="459">
        <v>0</v>
      </c>
      <c r="AI90" s="407">
        <f t="shared" si="10"/>
        <v>150</v>
      </c>
      <c r="AJ90" s="513">
        <f t="shared" si="11"/>
        <v>217162145.5</v>
      </c>
      <c r="AK90" s="513"/>
      <c r="AL90" s="513"/>
      <c r="AM90" s="513"/>
      <c r="AN90" s="513"/>
      <c r="AP90" s="406">
        <v>44014</v>
      </c>
      <c r="AQ90" s="405">
        <v>5</v>
      </c>
    </row>
    <row r="91" spans="1:43" ht="35.1" customHeight="1" x14ac:dyDescent="0.25">
      <c r="A91" s="509"/>
      <c r="B91" s="509"/>
      <c r="C91" s="509"/>
      <c r="D91" s="509"/>
      <c r="E91" s="509"/>
      <c r="F91" s="509"/>
      <c r="G91" s="509"/>
      <c r="H91" s="509"/>
      <c r="I91" s="509"/>
      <c r="J91" s="509"/>
      <c r="K91" s="509"/>
      <c r="L91" s="509"/>
      <c r="M91" s="509"/>
      <c r="N91" s="509"/>
      <c r="O91" s="509"/>
      <c r="P91" s="509"/>
      <c r="Q91" s="510">
        <v>2848085414</v>
      </c>
      <c r="R91" s="511"/>
      <c r="S91" s="511"/>
      <c r="T91" s="512"/>
      <c r="U91" s="506">
        <v>42979</v>
      </c>
      <c r="V91" s="506"/>
      <c r="W91" s="506">
        <v>43911</v>
      </c>
      <c r="X91" s="506"/>
      <c r="Y91" s="507"/>
      <c r="Z91" s="507"/>
      <c r="AA91" s="509">
        <v>240</v>
      </c>
      <c r="AB91" s="509"/>
      <c r="AC91" s="435" t="s">
        <v>533</v>
      </c>
      <c r="AD91" s="435"/>
      <c r="AE91" s="435"/>
      <c r="AF91" s="385">
        <v>1</v>
      </c>
      <c r="AG91" s="385">
        <f t="shared" si="9"/>
        <v>0</v>
      </c>
      <c r="AH91" s="459">
        <v>0</v>
      </c>
      <c r="AI91" s="407">
        <f t="shared" si="10"/>
        <v>240</v>
      </c>
      <c r="AJ91" s="513">
        <f t="shared" si="11"/>
        <v>2848085414</v>
      </c>
      <c r="AK91" s="513"/>
      <c r="AL91" s="513"/>
      <c r="AM91" s="513"/>
      <c r="AN91" s="513"/>
      <c r="AP91" s="406">
        <v>44014</v>
      </c>
      <c r="AQ91" s="405">
        <v>8</v>
      </c>
    </row>
    <row r="92" spans="1:43" x14ac:dyDescent="0.25">
      <c r="AD92" s="605" t="s">
        <v>802</v>
      </c>
      <c r="AE92" s="605"/>
      <c r="AF92" s="605"/>
      <c r="AG92" s="605"/>
      <c r="AH92" s="605"/>
      <c r="AI92" s="605"/>
      <c r="AJ92" s="606">
        <f>SUM(AJ88:AN91)</f>
        <v>4159353654.0500002</v>
      </c>
      <c r="AK92" s="607"/>
      <c r="AL92" s="607"/>
      <c r="AM92" s="607"/>
      <c r="AN92" s="607"/>
    </row>
    <row r="93" spans="1:43" s="374" customFormat="1" x14ac:dyDescent="0.25">
      <c r="A93" s="378" t="s">
        <v>801</v>
      </c>
      <c r="B93" s="370"/>
      <c r="C93" s="370"/>
      <c r="D93" s="370"/>
      <c r="E93" s="379"/>
      <c r="F93" s="379"/>
      <c r="G93" s="379"/>
      <c r="H93" s="378" t="str">
        <f>+B78</f>
        <v>MC CONSTRUCCIONES Y CONSULTORIAS S.A.S.</v>
      </c>
      <c r="I93" s="370"/>
      <c r="J93" s="370"/>
      <c r="K93" s="370"/>
      <c r="L93" s="370"/>
      <c r="M93" s="370"/>
      <c r="N93" s="370"/>
      <c r="O93" s="370"/>
      <c r="P93" s="370"/>
      <c r="Q93" s="370"/>
      <c r="R93" s="370"/>
      <c r="S93" s="379"/>
      <c r="T93" s="379"/>
      <c r="U93" s="379"/>
      <c r="V93" s="379"/>
      <c r="W93" s="379"/>
      <c r="X93" s="379"/>
      <c r="Y93" s="379"/>
      <c r="Z93" s="379"/>
      <c r="AA93" s="379"/>
      <c r="AB93" s="379"/>
      <c r="AC93" s="380"/>
      <c r="AD93" s="380"/>
      <c r="AE93" s="380"/>
      <c r="AF93" s="381"/>
      <c r="AG93" s="382"/>
      <c r="AH93" s="383"/>
      <c r="AI93" s="383"/>
      <c r="AJ93" s="379"/>
      <c r="AK93" s="379"/>
      <c r="AL93" s="379"/>
      <c r="AM93" s="379"/>
      <c r="AN93" s="379"/>
    </row>
    <row r="94" spans="1:43" ht="35.1" customHeight="1" x14ac:dyDescent="0.25">
      <c r="A94" s="509"/>
      <c r="B94" s="509"/>
      <c r="C94" s="509"/>
      <c r="D94" s="509"/>
      <c r="E94" s="509"/>
      <c r="F94" s="509"/>
      <c r="G94" s="509"/>
      <c r="H94" s="509"/>
      <c r="I94" s="509" t="s">
        <v>879</v>
      </c>
      <c r="J94" s="509"/>
      <c r="K94" s="509"/>
      <c r="L94" s="509"/>
      <c r="M94" s="509"/>
      <c r="N94" s="509"/>
      <c r="O94" s="509"/>
      <c r="P94" s="509"/>
      <c r="Q94" s="510"/>
      <c r="R94" s="511"/>
      <c r="S94" s="511"/>
      <c r="T94" s="512"/>
      <c r="U94" s="506"/>
      <c r="V94" s="506"/>
      <c r="W94" s="506"/>
      <c r="X94" s="506"/>
      <c r="Y94" s="508"/>
      <c r="Z94" s="508"/>
      <c r="AA94" s="509"/>
      <c r="AB94" s="509"/>
      <c r="AC94" s="435"/>
      <c r="AD94" s="435"/>
      <c r="AE94" s="435"/>
      <c r="AF94" s="385"/>
      <c r="AG94" s="385"/>
      <c r="AH94" s="407"/>
      <c r="AI94" s="407"/>
      <c r="AJ94" s="513"/>
      <c r="AK94" s="513"/>
      <c r="AL94" s="513"/>
      <c r="AM94" s="513"/>
      <c r="AN94" s="513"/>
      <c r="AP94" s="406"/>
      <c r="AQ94" s="369"/>
    </row>
    <row r="95" spans="1:43" ht="35.1" customHeight="1" x14ac:dyDescent="0.25">
      <c r="A95" s="509"/>
      <c r="B95" s="509"/>
      <c r="C95" s="509"/>
      <c r="D95" s="509"/>
      <c r="E95" s="509"/>
      <c r="F95" s="509"/>
      <c r="G95" s="509"/>
      <c r="H95" s="509"/>
      <c r="I95" s="509"/>
      <c r="J95" s="509"/>
      <c r="K95" s="509"/>
      <c r="L95" s="509"/>
      <c r="M95" s="509"/>
      <c r="N95" s="509"/>
      <c r="O95" s="509"/>
      <c r="P95" s="509"/>
      <c r="Q95" s="510"/>
      <c r="R95" s="511"/>
      <c r="S95" s="511"/>
      <c r="T95" s="512"/>
      <c r="U95" s="506"/>
      <c r="V95" s="506"/>
      <c r="W95" s="506"/>
      <c r="X95" s="506"/>
      <c r="Y95" s="508"/>
      <c r="Z95" s="508"/>
      <c r="AA95" s="509"/>
      <c r="AB95" s="509"/>
      <c r="AC95" s="435"/>
      <c r="AD95" s="435"/>
      <c r="AE95" s="435"/>
      <c r="AF95" s="385"/>
      <c r="AG95" s="385"/>
      <c r="AH95" s="407"/>
      <c r="AI95" s="407"/>
      <c r="AJ95" s="513"/>
      <c r="AK95" s="513"/>
      <c r="AL95" s="513"/>
      <c r="AM95" s="513"/>
      <c r="AN95" s="513"/>
      <c r="AP95" s="406"/>
      <c r="AQ95" s="369"/>
    </row>
    <row r="96" spans="1:43" x14ac:dyDescent="0.25">
      <c r="AD96" s="605" t="s">
        <v>802</v>
      </c>
      <c r="AE96" s="605"/>
      <c r="AF96" s="605"/>
      <c r="AG96" s="605"/>
      <c r="AH96" s="605"/>
      <c r="AI96" s="605"/>
      <c r="AJ96" s="606">
        <f>SUM(AJ94:AN95)</f>
        <v>0</v>
      </c>
      <c r="AK96" s="607"/>
      <c r="AL96" s="607"/>
      <c r="AM96" s="607"/>
      <c r="AN96" s="607"/>
    </row>
    <row r="97" spans="1:45" s="374" customFormat="1" x14ac:dyDescent="0.25">
      <c r="A97" s="378" t="s">
        <v>801</v>
      </c>
      <c r="B97" s="370"/>
      <c r="C97" s="370"/>
      <c r="D97" s="370"/>
      <c r="E97" s="379"/>
      <c r="F97" s="379"/>
      <c r="G97" s="379"/>
      <c r="H97" s="378" t="str">
        <f>+B79</f>
        <v>ESDRAS MD INGENIERIA SAS</v>
      </c>
      <c r="I97" s="370"/>
      <c r="J97" s="370"/>
      <c r="K97" s="370"/>
      <c r="L97" s="370"/>
      <c r="M97" s="370"/>
      <c r="N97" s="370"/>
      <c r="O97" s="370"/>
      <c r="P97" s="370"/>
      <c r="Q97" s="370"/>
      <c r="R97" s="370"/>
      <c r="S97" s="379"/>
      <c r="T97" s="379"/>
      <c r="U97" s="379"/>
      <c r="V97" s="379"/>
      <c r="W97" s="379"/>
      <c r="X97" s="379"/>
      <c r="Y97" s="379"/>
      <c r="Z97" s="379"/>
      <c r="AA97" s="379"/>
      <c r="AB97" s="379"/>
      <c r="AC97" s="380"/>
      <c r="AD97" s="380"/>
      <c r="AE97" s="380"/>
      <c r="AF97" s="381"/>
      <c r="AG97" s="382"/>
      <c r="AH97" s="383"/>
      <c r="AI97" s="383"/>
      <c r="AJ97" s="379"/>
      <c r="AK97" s="379"/>
      <c r="AL97" s="379"/>
      <c r="AM97" s="379"/>
      <c r="AN97" s="379"/>
    </row>
    <row r="98" spans="1:45" ht="35.1" customHeight="1" x14ac:dyDescent="0.25">
      <c r="A98" s="509"/>
      <c r="B98" s="509"/>
      <c r="C98" s="509"/>
      <c r="D98" s="509"/>
      <c r="E98" s="509"/>
      <c r="F98" s="509"/>
      <c r="G98" s="509"/>
      <c r="H98" s="509"/>
      <c r="I98" s="509"/>
      <c r="J98" s="509"/>
      <c r="K98" s="509"/>
      <c r="L98" s="509"/>
      <c r="M98" s="509"/>
      <c r="N98" s="509"/>
      <c r="O98" s="509"/>
      <c r="P98" s="509"/>
      <c r="Q98" s="625">
        <v>6637283028</v>
      </c>
      <c r="R98" s="626"/>
      <c r="S98" s="626"/>
      <c r="T98" s="627"/>
      <c r="U98" s="506">
        <v>43447</v>
      </c>
      <c r="V98" s="506"/>
      <c r="W98" s="506"/>
      <c r="X98" s="506"/>
      <c r="Y98" s="507"/>
      <c r="Z98" s="507"/>
      <c r="AA98" s="509">
        <f>7*30</f>
        <v>210</v>
      </c>
      <c r="AB98" s="509"/>
      <c r="AC98" s="435"/>
      <c r="AD98" s="435" t="s">
        <v>533</v>
      </c>
      <c r="AE98" s="435"/>
      <c r="AF98" s="385">
        <v>0.24</v>
      </c>
      <c r="AG98" s="385">
        <f t="shared" ref="AG98:AG102" si="12">+AH98/AA98</f>
        <v>0</v>
      </c>
      <c r="AH98" s="459">
        <v>0</v>
      </c>
      <c r="AI98" s="407">
        <f t="shared" ref="AI98:AI102" si="13">+AA98-AH98</f>
        <v>210</v>
      </c>
      <c r="AJ98" s="513">
        <f t="shared" ref="AJ98:AJ102" si="14">+(Q98/AA98)*AF98*AI98</f>
        <v>1592947926.72</v>
      </c>
      <c r="AK98" s="513"/>
      <c r="AL98" s="513"/>
      <c r="AM98" s="513"/>
      <c r="AN98" s="513"/>
      <c r="AP98" s="406">
        <v>44014</v>
      </c>
      <c r="AQ98" s="406">
        <v>44042</v>
      </c>
      <c r="AR98" s="443"/>
      <c r="AS98" s="443"/>
    </row>
    <row r="99" spans="1:45" ht="35.1" customHeight="1" x14ac:dyDescent="0.25">
      <c r="A99" s="509"/>
      <c r="B99" s="509"/>
      <c r="C99" s="509"/>
      <c r="D99" s="509"/>
      <c r="E99" s="509"/>
      <c r="F99" s="509"/>
      <c r="G99" s="509"/>
      <c r="H99" s="509"/>
      <c r="I99" s="509"/>
      <c r="J99" s="509"/>
      <c r="K99" s="509"/>
      <c r="L99" s="509"/>
      <c r="M99" s="509"/>
      <c r="N99" s="509"/>
      <c r="O99" s="509"/>
      <c r="P99" s="509"/>
      <c r="Q99" s="625">
        <v>3980540875</v>
      </c>
      <c r="R99" s="626"/>
      <c r="S99" s="626"/>
      <c r="T99" s="627"/>
      <c r="U99" s="506">
        <v>43084</v>
      </c>
      <c r="V99" s="506"/>
      <c r="W99" s="506"/>
      <c r="X99" s="506"/>
      <c r="Y99" s="507"/>
      <c r="Z99" s="507"/>
      <c r="AA99" s="509">
        <f>7*30</f>
        <v>210</v>
      </c>
      <c r="AB99" s="509"/>
      <c r="AC99" s="435"/>
      <c r="AD99" s="435" t="s">
        <v>533</v>
      </c>
      <c r="AE99" s="435"/>
      <c r="AF99" s="385">
        <v>0.33</v>
      </c>
      <c r="AG99" s="385">
        <f t="shared" si="12"/>
        <v>0</v>
      </c>
      <c r="AH99" s="459">
        <v>0</v>
      </c>
      <c r="AI99" s="407">
        <f t="shared" si="13"/>
        <v>210</v>
      </c>
      <c r="AJ99" s="513">
        <f t="shared" si="14"/>
        <v>1313578488.7500002</v>
      </c>
      <c r="AK99" s="513"/>
      <c r="AL99" s="513"/>
      <c r="AM99" s="513"/>
      <c r="AN99" s="513"/>
      <c r="AP99" s="406">
        <v>44014</v>
      </c>
      <c r="AQ99" s="406">
        <v>44042</v>
      </c>
      <c r="AR99" s="443"/>
      <c r="AS99" s="443"/>
    </row>
    <row r="100" spans="1:45" ht="35.1" customHeight="1" x14ac:dyDescent="0.25">
      <c r="A100" s="509"/>
      <c r="B100" s="509"/>
      <c r="C100" s="509"/>
      <c r="D100" s="509"/>
      <c r="E100" s="509"/>
      <c r="F100" s="509"/>
      <c r="G100" s="509"/>
      <c r="H100" s="509"/>
      <c r="I100" s="509"/>
      <c r="J100" s="509"/>
      <c r="K100" s="509"/>
      <c r="L100" s="509"/>
      <c r="M100" s="509"/>
      <c r="N100" s="509"/>
      <c r="O100" s="509"/>
      <c r="P100" s="509"/>
      <c r="Q100" s="625">
        <v>7138972745</v>
      </c>
      <c r="R100" s="626"/>
      <c r="S100" s="626"/>
      <c r="T100" s="627"/>
      <c r="U100" s="506">
        <v>43770</v>
      </c>
      <c r="V100" s="506"/>
      <c r="W100" s="506"/>
      <c r="X100" s="506"/>
      <c r="Y100" s="507"/>
      <c r="Z100" s="507"/>
      <c r="AA100" s="628">
        <v>414</v>
      </c>
      <c r="AB100" s="628"/>
      <c r="AC100" s="435" t="s">
        <v>533</v>
      </c>
      <c r="AD100" s="435"/>
      <c r="AE100" s="435"/>
      <c r="AF100" s="385">
        <v>1</v>
      </c>
      <c r="AG100" s="385">
        <f t="shared" si="12"/>
        <v>0</v>
      </c>
      <c r="AH100" s="459">
        <v>0</v>
      </c>
      <c r="AI100" s="407">
        <f t="shared" si="13"/>
        <v>414</v>
      </c>
      <c r="AJ100" s="513">
        <f t="shared" si="14"/>
        <v>7138972745.000001</v>
      </c>
      <c r="AK100" s="513"/>
      <c r="AL100" s="513"/>
      <c r="AM100" s="513"/>
      <c r="AN100" s="513"/>
      <c r="AP100" s="406">
        <v>44014</v>
      </c>
      <c r="AQ100" s="406">
        <v>44195</v>
      </c>
      <c r="AR100" s="443"/>
      <c r="AS100" s="443"/>
    </row>
    <row r="101" spans="1:45" ht="35.1" customHeight="1" x14ac:dyDescent="0.25">
      <c r="A101" s="509"/>
      <c r="B101" s="509"/>
      <c r="C101" s="509"/>
      <c r="D101" s="509"/>
      <c r="E101" s="509"/>
      <c r="F101" s="509"/>
      <c r="G101" s="509"/>
      <c r="H101" s="509"/>
      <c r="I101" s="509"/>
      <c r="J101" s="509"/>
      <c r="K101" s="509"/>
      <c r="L101" s="509"/>
      <c r="M101" s="509"/>
      <c r="N101" s="509"/>
      <c r="O101" s="509"/>
      <c r="P101" s="509"/>
      <c r="Q101" s="625">
        <v>4566786318</v>
      </c>
      <c r="R101" s="626"/>
      <c r="S101" s="626"/>
      <c r="T101" s="627"/>
      <c r="U101" s="506">
        <v>43723</v>
      </c>
      <c r="V101" s="506"/>
      <c r="W101" s="506"/>
      <c r="X101" s="506"/>
      <c r="Y101" s="507"/>
      <c r="Z101" s="507"/>
      <c r="AA101" s="509">
        <v>330</v>
      </c>
      <c r="AB101" s="509"/>
      <c r="AC101" s="435"/>
      <c r="AD101" s="435" t="s">
        <v>533</v>
      </c>
      <c r="AE101" s="435"/>
      <c r="AF101" s="385">
        <v>0.8</v>
      </c>
      <c r="AG101" s="385">
        <f t="shared" si="12"/>
        <v>0</v>
      </c>
      <c r="AH101" s="459">
        <v>0</v>
      </c>
      <c r="AI101" s="407">
        <f t="shared" si="13"/>
        <v>330</v>
      </c>
      <c r="AJ101" s="513">
        <f t="shared" si="14"/>
        <v>3653429054.4000001</v>
      </c>
      <c r="AK101" s="513"/>
      <c r="AL101" s="513"/>
      <c r="AM101" s="513"/>
      <c r="AN101" s="513"/>
      <c r="AP101" s="406">
        <v>44014</v>
      </c>
      <c r="AQ101" s="406">
        <v>44073</v>
      </c>
      <c r="AR101" s="443"/>
      <c r="AS101" s="443"/>
    </row>
    <row r="102" spans="1:45" ht="35.1" customHeight="1" x14ac:dyDescent="0.25">
      <c r="A102" s="509"/>
      <c r="B102" s="509"/>
      <c r="C102" s="509"/>
      <c r="D102" s="509"/>
      <c r="E102" s="509"/>
      <c r="F102" s="509"/>
      <c r="G102" s="509"/>
      <c r="H102" s="509"/>
      <c r="I102" s="509"/>
      <c r="J102" s="509"/>
      <c r="K102" s="509"/>
      <c r="L102" s="509"/>
      <c r="M102" s="509"/>
      <c r="N102" s="509"/>
      <c r="O102" s="509"/>
      <c r="P102" s="509"/>
      <c r="Q102" s="625">
        <v>651700492</v>
      </c>
      <c r="R102" s="626"/>
      <c r="S102" s="626"/>
      <c r="T102" s="627"/>
      <c r="U102" s="506">
        <v>43759</v>
      </c>
      <c r="V102" s="506"/>
      <c r="W102" s="506">
        <v>43911</v>
      </c>
      <c r="X102" s="506">
        <v>43911</v>
      </c>
      <c r="Y102" s="507">
        <v>0</v>
      </c>
      <c r="Z102" s="507"/>
      <c r="AA102" s="509">
        <v>210</v>
      </c>
      <c r="AB102" s="509"/>
      <c r="AC102" s="435" t="s">
        <v>533</v>
      </c>
      <c r="AD102" s="435"/>
      <c r="AE102" s="435"/>
      <c r="AF102" s="385">
        <v>1</v>
      </c>
      <c r="AG102" s="385">
        <f t="shared" si="12"/>
        <v>0</v>
      </c>
      <c r="AH102" s="459">
        <v>0</v>
      </c>
      <c r="AI102" s="407">
        <f t="shared" si="13"/>
        <v>210</v>
      </c>
      <c r="AJ102" s="513">
        <f t="shared" si="14"/>
        <v>651700492</v>
      </c>
      <c r="AK102" s="513"/>
      <c r="AL102" s="513"/>
      <c r="AM102" s="513"/>
      <c r="AN102" s="513"/>
      <c r="AP102" s="406">
        <v>44014</v>
      </c>
      <c r="AQ102" s="406">
        <v>43981</v>
      </c>
      <c r="AR102" s="443"/>
      <c r="AS102" s="443"/>
    </row>
    <row r="103" spans="1:45" x14ac:dyDescent="0.25">
      <c r="AD103" s="605" t="s">
        <v>802</v>
      </c>
      <c r="AE103" s="605"/>
      <c r="AF103" s="605"/>
      <c r="AG103" s="605"/>
      <c r="AH103" s="605"/>
      <c r="AI103" s="605"/>
      <c r="AJ103" s="606">
        <f>SUM(AJ98:AN102)</f>
        <v>14350628706.870001</v>
      </c>
      <c r="AK103" s="607"/>
      <c r="AL103" s="607"/>
      <c r="AM103" s="607"/>
      <c r="AN103" s="607"/>
    </row>
    <row r="104" spans="1:45" ht="15.75" thickBot="1" x14ac:dyDescent="0.3"/>
    <row r="105" spans="1:45" ht="15.75" thickBot="1" x14ac:dyDescent="0.3">
      <c r="A105" s="386" t="s">
        <v>804</v>
      </c>
      <c r="F105" s="386" t="str">
        <f>+B77</f>
        <v>GAVIRIA SILVA MARCO JAVIER</v>
      </c>
      <c r="M105" s="386" t="s">
        <v>805</v>
      </c>
      <c r="T105" s="387" t="s">
        <v>805</v>
      </c>
      <c r="U105" s="608">
        <f>+AC77*((AI77+AK77+AM77)/100)-AJ92</f>
        <v>3758785534.75</v>
      </c>
      <c r="V105" s="609"/>
      <c r="W105" s="609"/>
      <c r="X105" s="609"/>
      <c r="Y105" s="609"/>
      <c r="Z105" s="609"/>
      <c r="AA105" s="609"/>
      <c r="AB105" s="610"/>
      <c r="AD105" s="454"/>
    </row>
    <row r="106" spans="1:45" ht="15.75" thickBot="1" x14ac:dyDescent="0.3">
      <c r="T106" s="387"/>
      <c r="AD106" s="454"/>
    </row>
    <row r="107" spans="1:45" ht="15.75" thickBot="1" x14ac:dyDescent="0.3">
      <c r="A107" s="386" t="s">
        <v>804</v>
      </c>
      <c r="F107" s="386" t="str">
        <f>+B78</f>
        <v>MC CONSTRUCCIONES Y CONSULTORIAS S.A.S.</v>
      </c>
      <c r="M107" s="386" t="s">
        <v>805</v>
      </c>
      <c r="T107" s="387" t="s">
        <v>805</v>
      </c>
      <c r="U107" s="608">
        <f>+AC78*((AI78+AK78+AM78)/100)-AJ96</f>
        <v>837825750</v>
      </c>
      <c r="V107" s="609"/>
      <c r="W107" s="609"/>
      <c r="X107" s="609"/>
      <c r="Y107" s="609"/>
      <c r="Z107" s="609"/>
      <c r="AA107" s="609"/>
      <c r="AB107" s="610"/>
      <c r="AD107" s="454" t="s">
        <v>931</v>
      </c>
    </row>
    <row r="108" spans="1:45" ht="15.75" thickBot="1" x14ac:dyDescent="0.3">
      <c r="T108" s="387"/>
      <c r="AD108" s="454"/>
    </row>
    <row r="109" spans="1:45" ht="15.75" thickBot="1" x14ac:dyDescent="0.3">
      <c r="A109" s="386" t="s">
        <v>804</v>
      </c>
      <c r="F109" s="386" t="str">
        <f>+B79</f>
        <v>ESDRAS MD INGENIERIA SAS</v>
      </c>
      <c r="M109" s="386" t="s">
        <v>805</v>
      </c>
      <c r="T109" s="387" t="s">
        <v>805</v>
      </c>
      <c r="U109" s="608">
        <f>+AC79*((AI79+AK79+AM79)/100)-AJ103</f>
        <v>23366274948.330002</v>
      </c>
      <c r="V109" s="609"/>
      <c r="W109" s="609"/>
      <c r="X109" s="609"/>
      <c r="Y109" s="609"/>
      <c r="Z109" s="609"/>
      <c r="AA109" s="609"/>
      <c r="AB109" s="610"/>
      <c r="AD109" s="454"/>
    </row>
    <row r="110" spans="1:45" ht="15.75" thickBot="1" x14ac:dyDescent="0.3">
      <c r="T110" s="387"/>
    </row>
    <row r="111" spans="1:45" ht="15.75" thickBot="1" x14ac:dyDescent="0.3">
      <c r="A111" s="386" t="s">
        <v>804</v>
      </c>
      <c r="F111" s="386" t="str">
        <f>+A70</f>
        <v>CONSORCIO UNIDEPOR 2020</v>
      </c>
      <c r="M111" s="386" t="s">
        <v>805</v>
      </c>
      <c r="T111" s="387" t="s">
        <v>805</v>
      </c>
      <c r="U111" s="608">
        <f>SUM(U105:AB110)</f>
        <v>27962886233.080002</v>
      </c>
      <c r="V111" s="609"/>
      <c r="W111" s="609"/>
      <c r="X111" s="609"/>
      <c r="Y111" s="609"/>
      <c r="Z111" s="609"/>
      <c r="AA111" s="609"/>
      <c r="AB111" s="610"/>
      <c r="AD111" s="611" t="str">
        <f>+IF(AI73&lt;=U111,"CUMPLE","NO CUMPLE")</f>
        <v>CUMPLE</v>
      </c>
      <c r="AE111" s="611"/>
      <c r="AF111" s="611"/>
    </row>
    <row r="113" spans="1:42" x14ac:dyDescent="0.25">
      <c r="A113" s="530" t="s">
        <v>767</v>
      </c>
      <c r="B113" s="530"/>
      <c r="C113" s="530"/>
      <c r="D113" s="530"/>
      <c r="E113" s="530"/>
      <c r="F113" s="530"/>
      <c r="G113" s="530"/>
      <c r="H113" s="530"/>
      <c r="I113" s="530"/>
      <c r="J113" s="530"/>
      <c r="K113" s="530"/>
      <c r="L113" s="530"/>
      <c r="M113" s="530"/>
      <c r="N113" s="530"/>
      <c r="O113" s="530"/>
      <c r="P113" s="530"/>
      <c r="Q113" s="530"/>
      <c r="R113" s="530"/>
      <c r="S113" s="530"/>
      <c r="T113" s="530"/>
      <c r="U113" s="530"/>
      <c r="V113" s="530"/>
      <c r="W113" s="530"/>
      <c r="X113" s="530"/>
      <c r="Y113" s="530"/>
      <c r="Z113" s="530"/>
      <c r="AA113" s="530"/>
      <c r="AB113" s="530"/>
      <c r="AC113" s="530"/>
      <c r="AD113" s="530"/>
      <c r="AE113" s="530"/>
      <c r="AF113" s="530"/>
      <c r="AG113" s="530"/>
      <c r="AH113" s="530"/>
      <c r="AI113" s="530"/>
      <c r="AJ113" s="530"/>
      <c r="AK113" s="530"/>
      <c r="AL113" s="530"/>
      <c r="AM113" s="530"/>
      <c r="AN113" s="530"/>
    </row>
    <row r="114" spans="1:42" x14ac:dyDescent="0.25">
      <c r="A114" s="530">
        <v>3</v>
      </c>
      <c r="B114" s="530"/>
      <c r="C114" s="530"/>
      <c r="D114" s="530"/>
      <c r="E114" s="530"/>
      <c r="F114" s="530"/>
      <c r="G114" s="530"/>
      <c r="H114" s="530"/>
      <c r="I114" s="530"/>
      <c r="J114" s="530"/>
      <c r="K114" s="530"/>
      <c r="L114" s="530"/>
      <c r="M114" s="530"/>
      <c r="N114" s="530"/>
      <c r="O114" s="530"/>
      <c r="P114" s="530"/>
      <c r="Q114" s="530"/>
      <c r="R114" s="530"/>
      <c r="S114" s="530"/>
      <c r="T114" s="530"/>
      <c r="U114" s="530"/>
      <c r="V114" s="530"/>
      <c r="W114" s="530"/>
      <c r="X114" s="530"/>
      <c r="Y114" s="530"/>
      <c r="Z114" s="530"/>
      <c r="AA114" s="530"/>
      <c r="AB114" s="530"/>
      <c r="AC114" s="530"/>
      <c r="AD114" s="530"/>
      <c r="AE114" s="530"/>
      <c r="AF114" s="530"/>
      <c r="AG114" s="530"/>
      <c r="AH114" s="530"/>
      <c r="AI114" s="530"/>
      <c r="AJ114" s="530"/>
      <c r="AK114" s="530"/>
      <c r="AL114" s="530"/>
      <c r="AM114" s="530"/>
      <c r="AN114" s="530"/>
    </row>
    <row r="115" spans="1:42" x14ac:dyDescent="0.25">
      <c r="A115" s="531" t="str">
        <f>+'VERIFICACIÓN TÉCNICA'!G10</f>
        <v>CONSORCIO DEPORTIVO 2020</v>
      </c>
      <c r="B115" s="531"/>
      <c r="C115" s="531"/>
      <c r="D115" s="531"/>
      <c r="E115" s="531"/>
      <c r="F115" s="531"/>
      <c r="G115" s="531"/>
      <c r="H115" s="531"/>
      <c r="I115" s="531"/>
      <c r="J115" s="531"/>
      <c r="K115" s="531"/>
      <c r="L115" s="531"/>
      <c r="M115" s="531"/>
      <c r="N115" s="531"/>
      <c r="O115" s="531"/>
      <c r="P115" s="531"/>
      <c r="Q115" s="531"/>
      <c r="R115" s="531"/>
      <c r="S115" s="531"/>
      <c r="T115" s="531"/>
      <c r="U115" s="531"/>
      <c r="V115" s="531"/>
      <c r="W115" s="531"/>
      <c r="X115" s="531"/>
      <c r="Y115" s="531"/>
      <c r="Z115" s="531"/>
      <c r="AA115" s="531"/>
      <c r="AB115" s="531"/>
      <c r="AC115" s="531"/>
      <c r="AD115" s="531"/>
      <c r="AE115" s="531"/>
      <c r="AF115" s="531"/>
      <c r="AG115" s="531"/>
      <c r="AH115" s="531"/>
      <c r="AI115" s="531"/>
      <c r="AJ115" s="531"/>
      <c r="AK115" s="531"/>
      <c r="AL115" s="531"/>
      <c r="AM115" s="531"/>
      <c r="AN115" s="531"/>
    </row>
    <row r="116" spans="1:42" x14ac:dyDescent="0.25">
      <c r="A116" s="531" t="s">
        <v>809</v>
      </c>
      <c r="B116" s="531"/>
      <c r="C116" s="531"/>
      <c r="D116" s="531"/>
      <c r="E116" s="531"/>
      <c r="F116" s="531"/>
      <c r="G116" s="531"/>
      <c r="H116" s="531"/>
      <c r="I116" s="531"/>
      <c r="J116" s="531"/>
      <c r="K116" s="531"/>
      <c r="L116" s="531"/>
      <c r="M116" s="531"/>
      <c r="N116" s="531"/>
      <c r="O116" s="531"/>
      <c r="P116" s="531"/>
      <c r="Q116" s="531"/>
      <c r="R116" s="531"/>
      <c r="S116" s="531"/>
      <c r="T116" s="531"/>
      <c r="U116" s="531"/>
      <c r="V116" s="531"/>
      <c r="W116" s="531"/>
      <c r="X116" s="531"/>
      <c r="Y116" s="531"/>
      <c r="Z116" s="531"/>
      <c r="AA116" s="531"/>
      <c r="AB116" s="531"/>
      <c r="AC116" s="531"/>
      <c r="AD116" s="531"/>
      <c r="AE116" s="531"/>
      <c r="AF116" s="531"/>
      <c r="AG116" s="531"/>
      <c r="AH116" s="531"/>
      <c r="AI116" s="531"/>
      <c r="AJ116" s="531"/>
      <c r="AK116" s="531"/>
      <c r="AL116" s="531"/>
      <c r="AM116" s="531"/>
      <c r="AN116" s="531"/>
    </row>
    <row r="118" spans="1:42" s="369" customFormat="1" ht="30" customHeight="1" x14ac:dyDescent="0.25">
      <c r="A118" s="532" t="s">
        <v>768</v>
      </c>
      <c r="B118" s="532"/>
      <c r="C118" s="532"/>
      <c r="D118" s="532"/>
      <c r="E118" s="532"/>
      <c r="F118" s="532"/>
      <c r="G118" s="532"/>
      <c r="H118" s="532"/>
      <c r="I118" s="533">
        <f>+$I$14</f>
        <v>7067912240</v>
      </c>
      <c r="J118" s="533"/>
      <c r="K118" s="533"/>
      <c r="L118" s="533"/>
      <c r="M118" s="533"/>
      <c r="N118" s="533"/>
      <c r="O118" s="534" t="s">
        <v>769</v>
      </c>
      <c r="P118" s="534"/>
      <c r="Q118" s="534"/>
      <c r="R118" s="534"/>
      <c r="S118" s="534"/>
      <c r="T118" s="534"/>
      <c r="U118" s="525">
        <f>+$U$14</f>
        <v>12</v>
      </c>
      <c r="V118" s="525"/>
      <c r="W118" s="525"/>
      <c r="X118" s="525"/>
      <c r="Y118" s="525"/>
      <c r="Z118" s="525"/>
      <c r="AA118" s="534" t="s">
        <v>770</v>
      </c>
      <c r="AB118" s="534"/>
      <c r="AC118" s="534"/>
      <c r="AD118" s="534"/>
      <c r="AE118" s="534"/>
      <c r="AF118" s="534"/>
      <c r="AG118" s="534"/>
      <c r="AH118" s="534"/>
      <c r="AI118" s="533">
        <f>IF(U118&gt;12,(I118-I119)/U118*12,I118-I119)</f>
        <v>5654329792</v>
      </c>
      <c r="AJ118" s="533"/>
      <c r="AK118" s="533"/>
      <c r="AL118" s="533"/>
      <c r="AM118" s="533"/>
      <c r="AN118" s="533"/>
    </row>
    <row r="119" spans="1:42" s="369" customFormat="1" ht="30" customHeight="1" x14ac:dyDescent="0.25">
      <c r="A119" s="532" t="s">
        <v>771</v>
      </c>
      <c r="B119" s="532"/>
      <c r="C119" s="532"/>
      <c r="D119" s="532"/>
      <c r="E119" s="532"/>
      <c r="F119" s="532"/>
      <c r="G119" s="532"/>
      <c r="H119" s="532"/>
      <c r="I119" s="533">
        <f>+ROUND(0.2*I118,0)</f>
        <v>1413582448</v>
      </c>
      <c r="J119" s="533"/>
      <c r="K119" s="533"/>
      <c r="L119" s="533"/>
      <c r="M119" s="533"/>
      <c r="N119" s="533"/>
      <c r="O119" s="534" t="s">
        <v>772</v>
      </c>
      <c r="P119" s="534"/>
      <c r="Q119" s="534"/>
      <c r="R119" s="534"/>
      <c r="S119" s="534"/>
      <c r="T119" s="534"/>
      <c r="U119" s="533">
        <f>+$U$15</f>
        <v>3723.67</v>
      </c>
      <c r="V119" s="533"/>
      <c r="W119" s="533"/>
      <c r="X119" s="533"/>
      <c r="Y119" s="533"/>
      <c r="Z119" s="533"/>
      <c r="AA119" s="525" t="s">
        <v>773</v>
      </c>
      <c r="AB119" s="525"/>
      <c r="AC119" s="525"/>
      <c r="AD119" s="525"/>
      <c r="AE119" s="525"/>
      <c r="AF119" s="525"/>
      <c r="AG119" s="525"/>
      <c r="AH119" s="525"/>
      <c r="AI119" s="526">
        <f>U119*125000</f>
        <v>465458750</v>
      </c>
      <c r="AJ119" s="527"/>
      <c r="AK119" s="527"/>
      <c r="AL119" s="527"/>
      <c r="AM119" s="527"/>
      <c r="AN119" s="528"/>
    </row>
    <row r="120" spans="1:42" s="374" customFormat="1" ht="7.5" customHeight="1" x14ac:dyDescent="0.25">
      <c r="A120" s="370"/>
      <c r="B120" s="370"/>
      <c r="C120" s="370"/>
      <c r="D120" s="370"/>
      <c r="E120" s="370"/>
      <c r="F120" s="370"/>
      <c r="G120" s="371"/>
      <c r="H120" s="371"/>
      <c r="I120" s="371"/>
      <c r="J120" s="371"/>
      <c r="K120" s="371"/>
      <c r="L120" s="371"/>
      <c r="M120" s="372"/>
      <c r="N120" s="372"/>
      <c r="O120" s="372"/>
      <c r="P120" s="372"/>
      <c r="Q120" s="372"/>
      <c r="R120" s="370"/>
      <c r="S120" s="372"/>
      <c r="T120" s="372"/>
      <c r="U120" s="372"/>
      <c r="V120" s="372"/>
      <c r="W120" s="372"/>
      <c r="X120" s="372"/>
      <c r="Y120" s="372"/>
      <c r="Z120" s="373"/>
      <c r="AA120" s="373"/>
      <c r="AB120" s="372"/>
      <c r="AC120" s="372"/>
      <c r="AD120" s="372"/>
      <c r="AE120" s="372"/>
      <c r="AF120" s="372"/>
      <c r="AG120" s="372"/>
      <c r="AH120" s="372"/>
      <c r="AI120" s="371"/>
      <c r="AJ120" s="371"/>
      <c r="AK120" s="371"/>
      <c r="AL120" s="371"/>
      <c r="AM120" s="371"/>
      <c r="AN120" s="371"/>
    </row>
    <row r="121" spans="1:42" s="376" customFormat="1" ht="75" customHeight="1" x14ac:dyDescent="0.25">
      <c r="A121" s="375" t="s">
        <v>774</v>
      </c>
      <c r="B121" s="525" t="s">
        <v>775</v>
      </c>
      <c r="C121" s="525"/>
      <c r="D121" s="525"/>
      <c r="E121" s="525"/>
      <c r="F121" s="525"/>
      <c r="G121" s="525"/>
      <c r="H121" s="525"/>
      <c r="I121" s="525"/>
      <c r="J121" s="535" t="s">
        <v>776</v>
      </c>
      <c r="K121" s="536"/>
      <c r="L121" s="537" t="s">
        <v>777</v>
      </c>
      <c r="M121" s="537"/>
      <c r="N121" s="537"/>
      <c r="O121" s="537"/>
      <c r="P121" s="537"/>
      <c r="Q121" s="538" t="s">
        <v>778</v>
      </c>
      <c r="R121" s="538"/>
      <c r="S121" s="534" t="s">
        <v>779</v>
      </c>
      <c r="T121" s="534"/>
      <c r="U121" s="538" t="s">
        <v>780</v>
      </c>
      <c r="V121" s="538"/>
      <c r="W121" s="613" t="s">
        <v>781</v>
      </c>
      <c r="X121" s="614"/>
      <c r="Y121" s="614"/>
      <c r="Z121" s="614"/>
      <c r="AA121" s="614"/>
      <c r="AB121" s="615"/>
      <c r="AC121" s="613" t="s">
        <v>782</v>
      </c>
      <c r="AD121" s="614"/>
      <c r="AE121" s="614"/>
      <c r="AF121" s="614"/>
      <c r="AG121" s="614"/>
      <c r="AH121" s="615"/>
      <c r="AI121" s="539" t="s">
        <v>783</v>
      </c>
      <c r="AJ121" s="539"/>
      <c r="AK121" s="539" t="s">
        <v>784</v>
      </c>
      <c r="AL121" s="539"/>
      <c r="AM121" s="539" t="s">
        <v>785</v>
      </c>
      <c r="AN121" s="539"/>
    </row>
    <row r="122" spans="1:42" x14ac:dyDescent="0.25">
      <c r="A122" s="377">
        <v>1</v>
      </c>
      <c r="B122" s="531" t="s">
        <v>814</v>
      </c>
      <c r="C122" s="531"/>
      <c r="D122" s="531"/>
      <c r="E122" s="531"/>
      <c r="F122" s="531"/>
      <c r="G122" s="531"/>
      <c r="H122" s="531"/>
      <c r="I122" s="531"/>
      <c r="J122" s="629">
        <v>0.3</v>
      </c>
      <c r="K122" s="630"/>
      <c r="L122" s="631">
        <v>61153171181</v>
      </c>
      <c r="M122" s="631"/>
      <c r="N122" s="631"/>
      <c r="O122" s="631"/>
      <c r="P122" s="631"/>
      <c r="Q122" s="632">
        <f>+L122/(I$118*J122)</f>
        <v>28.84075198090839</v>
      </c>
      <c r="R122" s="632"/>
      <c r="S122" s="633">
        <v>13.61</v>
      </c>
      <c r="T122" s="633"/>
      <c r="U122" s="634">
        <v>3</v>
      </c>
      <c r="V122" s="634"/>
      <c r="W122" s="636">
        <v>10047283839</v>
      </c>
      <c r="X122" s="637"/>
      <c r="Y122" s="637"/>
      <c r="Z122" s="637"/>
      <c r="AA122" s="637"/>
      <c r="AB122" s="638"/>
      <c r="AC122" s="639">
        <f>+IF(W122&lt;AI$119,AI$119,W122)</f>
        <v>10047283839</v>
      </c>
      <c r="AD122" s="640"/>
      <c r="AE122" s="640"/>
      <c r="AF122" s="640"/>
      <c r="AG122" s="640"/>
      <c r="AH122" s="641"/>
      <c r="AI122" s="635">
        <f>IF(Q122&gt;=0,IF(Q122&lt;=3,60,IF(Q122&lt;=6,80,IF(Q122&lt;=10,100,120))))</f>
        <v>120</v>
      </c>
      <c r="AJ122" s="635"/>
      <c r="AK122" s="635">
        <f>IF(S122&gt;=0,IF(S122&lt;0.5,20,IF(S122&lt;0.75,25,IF(S122&lt;1,30,IF(S122&lt;1.5,35,40)))))</f>
        <v>40</v>
      </c>
      <c r="AL122" s="635"/>
      <c r="AM122" s="635">
        <f>IF(U122&gt;=1,IF(U122&lt;=5,20,IF(U122&lt;=10,30,40)))</f>
        <v>20</v>
      </c>
      <c r="AN122" s="635"/>
    </row>
    <row r="123" spans="1:42" x14ac:dyDescent="0.25">
      <c r="A123" s="377">
        <v>2</v>
      </c>
      <c r="B123" s="531" t="s">
        <v>815</v>
      </c>
      <c r="C123" s="531"/>
      <c r="D123" s="531"/>
      <c r="E123" s="531"/>
      <c r="F123" s="531"/>
      <c r="G123" s="531"/>
      <c r="H123" s="531"/>
      <c r="I123" s="531"/>
      <c r="J123" s="629">
        <v>0.3</v>
      </c>
      <c r="K123" s="630"/>
      <c r="L123" s="631">
        <v>26213637872.34</v>
      </c>
      <c r="M123" s="631"/>
      <c r="N123" s="631"/>
      <c r="O123" s="631"/>
      <c r="P123" s="631"/>
      <c r="Q123" s="632">
        <f>+L123/(I$118*J123)</f>
        <v>12.3627444626845</v>
      </c>
      <c r="R123" s="632"/>
      <c r="S123" s="633">
        <v>7.3</v>
      </c>
      <c r="T123" s="633"/>
      <c r="U123" s="633">
        <v>1</v>
      </c>
      <c r="V123" s="633"/>
      <c r="W123" s="636">
        <v>7638637000</v>
      </c>
      <c r="X123" s="637"/>
      <c r="Y123" s="637"/>
      <c r="Z123" s="637"/>
      <c r="AA123" s="637"/>
      <c r="AB123" s="638"/>
      <c r="AC123" s="639">
        <f>+IF(W123&lt;AI$119,AI$119,W123)</f>
        <v>7638637000</v>
      </c>
      <c r="AD123" s="640"/>
      <c r="AE123" s="640"/>
      <c r="AF123" s="640"/>
      <c r="AG123" s="640"/>
      <c r="AH123" s="641"/>
      <c r="AI123" s="635">
        <f>IF(Q123&gt;=0,IF(Q123&lt;=3,60,IF(Q123&lt;=6,80,IF(Q123&lt;=10,100,120))))</f>
        <v>120</v>
      </c>
      <c r="AJ123" s="635"/>
      <c r="AK123" s="635">
        <f>IF(S123&gt;=0,IF(S123&lt;0.5,20,IF(S123&lt;0.75,25,IF(S123&lt;1,30,IF(S123&lt;1.5,35,40)))))</f>
        <v>40</v>
      </c>
      <c r="AL123" s="635"/>
      <c r="AM123" s="635">
        <f>IF(U123&gt;=1,IF(U123&lt;=5,20,IF(U123&lt;=10,30,40)))</f>
        <v>20</v>
      </c>
      <c r="AN123" s="635"/>
      <c r="AP123" s="376"/>
    </row>
    <row r="124" spans="1:42" x14ac:dyDescent="0.25">
      <c r="A124" s="377">
        <v>3</v>
      </c>
      <c r="B124" s="531" t="s">
        <v>816</v>
      </c>
      <c r="C124" s="531"/>
      <c r="D124" s="531"/>
      <c r="E124" s="531"/>
      <c r="F124" s="531"/>
      <c r="G124" s="531"/>
      <c r="H124" s="531"/>
      <c r="I124" s="531"/>
      <c r="J124" s="629">
        <v>0.4</v>
      </c>
      <c r="K124" s="630"/>
      <c r="L124" s="631">
        <v>78243073810</v>
      </c>
      <c r="M124" s="631"/>
      <c r="N124" s="631"/>
      <c r="O124" s="631"/>
      <c r="P124" s="631"/>
      <c r="Q124" s="632">
        <f>+L124/(I$118*J124)</f>
        <v>27.675454629725284</v>
      </c>
      <c r="R124" s="632"/>
      <c r="S124" s="633">
        <v>202.29</v>
      </c>
      <c r="T124" s="633"/>
      <c r="U124" s="633">
        <v>6</v>
      </c>
      <c r="V124" s="633"/>
      <c r="W124" s="636">
        <v>6891136800</v>
      </c>
      <c r="X124" s="637"/>
      <c r="Y124" s="637"/>
      <c r="Z124" s="637"/>
      <c r="AA124" s="637"/>
      <c r="AB124" s="638"/>
      <c r="AC124" s="639">
        <f>+IF(W124&lt;AI$119,AI$119,W124)</f>
        <v>6891136800</v>
      </c>
      <c r="AD124" s="640"/>
      <c r="AE124" s="640"/>
      <c r="AF124" s="640"/>
      <c r="AG124" s="640"/>
      <c r="AH124" s="641"/>
      <c r="AI124" s="635">
        <f>IF(Q124&gt;=0,IF(Q124&lt;=3,60,IF(Q124&lt;=6,80,IF(Q124&lt;=10,100,120))))</f>
        <v>120</v>
      </c>
      <c r="AJ124" s="635"/>
      <c r="AK124" s="635">
        <f>IF(S124&gt;=0,IF(S124&lt;0.5,20,IF(S124&lt;0.75,25,IF(S124&lt;1,30,IF(S124&lt;1.5,35,40)))))</f>
        <v>40</v>
      </c>
      <c r="AL124" s="635"/>
      <c r="AM124" s="635">
        <f>IF(U124&gt;=1,IF(U124&lt;=5,20,IF(U124&lt;=10,30,40)))</f>
        <v>30</v>
      </c>
      <c r="AN124" s="635"/>
      <c r="AP124" s="376"/>
    </row>
    <row r="125" spans="1:42" ht="15.75" thickBot="1" x14ac:dyDescent="0.3"/>
    <row r="126" spans="1:42" ht="15" customHeight="1" x14ac:dyDescent="0.25">
      <c r="A126" s="573" t="s">
        <v>786</v>
      </c>
      <c r="B126" s="559"/>
      <c r="C126" s="559"/>
      <c r="D126" s="559"/>
      <c r="E126" s="558" t="s">
        <v>806</v>
      </c>
      <c r="F126" s="559"/>
      <c r="G126" s="559"/>
      <c r="H126" s="576"/>
      <c r="I126" s="579" t="s">
        <v>788</v>
      </c>
      <c r="J126" s="580"/>
      <c r="K126" s="580"/>
      <c r="L126" s="580"/>
      <c r="M126" s="580"/>
      <c r="N126" s="580"/>
      <c r="O126" s="580"/>
      <c r="P126" s="581"/>
      <c r="Q126" s="579" t="s">
        <v>789</v>
      </c>
      <c r="R126" s="580"/>
      <c r="S126" s="580"/>
      <c r="T126" s="581"/>
      <c r="U126" s="558" t="s">
        <v>790</v>
      </c>
      <c r="V126" s="559"/>
      <c r="W126" s="559"/>
      <c r="X126" s="558" t="s">
        <v>833</v>
      </c>
      <c r="Y126" s="559"/>
      <c r="Z126" s="576"/>
      <c r="AA126" s="588" t="s">
        <v>791</v>
      </c>
      <c r="AB126" s="588"/>
      <c r="AC126" s="552" t="s">
        <v>792</v>
      </c>
      <c r="AD126" s="552"/>
      <c r="AE126" s="552"/>
      <c r="AF126" s="553" t="s">
        <v>793</v>
      </c>
      <c r="AG126" s="591" t="s">
        <v>817</v>
      </c>
      <c r="AH126" s="591"/>
      <c r="AI126" s="591"/>
      <c r="AJ126" s="591"/>
      <c r="AK126" s="591"/>
      <c r="AL126" s="591"/>
      <c r="AM126" s="591"/>
      <c r="AN126" s="592"/>
    </row>
    <row r="127" spans="1:42" ht="15" customHeight="1" x14ac:dyDescent="0.25">
      <c r="A127" s="574"/>
      <c r="B127" s="561"/>
      <c r="C127" s="561"/>
      <c r="D127" s="561"/>
      <c r="E127" s="560"/>
      <c r="F127" s="561"/>
      <c r="G127" s="561"/>
      <c r="H127" s="577"/>
      <c r="I127" s="582"/>
      <c r="J127" s="583"/>
      <c r="K127" s="583"/>
      <c r="L127" s="583"/>
      <c r="M127" s="583"/>
      <c r="N127" s="583"/>
      <c r="O127" s="583"/>
      <c r="P127" s="584"/>
      <c r="Q127" s="582"/>
      <c r="R127" s="583"/>
      <c r="S127" s="583"/>
      <c r="T127" s="584"/>
      <c r="U127" s="560"/>
      <c r="V127" s="561"/>
      <c r="W127" s="561"/>
      <c r="X127" s="560"/>
      <c r="Y127" s="561"/>
      <c r="Z127" s="577"/>
      <c r="AA127" s="534"/>
      <c r="AB127" s="534"/>
      <c r="AC127" s="525"/>
      <c r="AD127" s="525"/>
      <c r="AE127" s="525"/>
      <c r="AF127" s="554"/>
      <c r="AG127" s="593" t="s">
        <v>794</v>
      </c>
      <c r="AH127" s="596" t="s">
        <v>795</v>
      </c>
      <c r="AI127" s="596" t="s">
        <v>796</v>
      </c>
      <c r="AJ127" s="534" t="s">
        <v>797</v>
      </c>
      <c r="AK127" s="534"/>
      <c r="AL127" s="534"/>
      <c r="AM127" s="534"/>
      <c r="AN127" s="599"/>
    </row>
    <row r="128" spans="1:42" ht="15" customHeight="1" x14ac:dyDescent="0.25">
      <c r="A128" s="574"/>
      <c r="B128" s="561"/>
      <c r="C128" s="561"/>
      <c r="D128" s="561"/>
      <c r="E128" s="560"/>
      <c r="F128" s="561"/>
      <c r="G128" s="561"/>
      <c r="H128" s="577"/>
      <c r="I128" s="582"/>
      <c r="J128" s="583"/>
      <c r="K128" s="583"/>
      <c r="L128" s="583"/>
      <c r="M128" s="583"/>
      <c r="N128" s="583"/>
      <c r="O128" s="583"/>
      <c r="P128" s="584"/>
      <c r="Q128" s="582"/>
      <c r="R128" s="583"/>
      <c r="S128" s="583"/>
      <c r="T128" s="584"/>
      <c r="U128" s="560"/>
      <c r="V128" s="561"/>
      <c r="W128" s="561"/>
      <c r="X128" s="560"/>
      <c r="Y128" s="561"/>
      <c r="Z128" s="577"/>
      <c r="AA128" s="534"/>
      <c r="AB128" s="534"/>
      <c r="AC128" s="525"/>
      <c r="AD128" s="525"/>
      <c r="AE128" s="525"/>
      <c r="AF128" s="554"/>
      <c r="AG128" s="593"/>
      <c r="AH128" s="596"/>
      <c r="AI128" s="596"/>
      <c r="AJ128" s="534"/>
      <c r="AK128" s="534"/>
      <c r="AL128" s="534"/>
      <c r="AM128" s="534"/>
      <c r="AN128" s="599"/>
    </row>
    <row r="129" spans="1:44" ht="15" customHeight="1" x14ac:dyDescent="0.25">
      <c r="A129" s="574"/>
      <c r="B129" s="561"/>
      <c r="C129" s="561"/>
      <c r="D129" s="561"/>
      <c r="E129" s="560"/>
      <c r="F129" s="561"/>
      <c r="G129" s="561"/>
      <c r="H129" s="577"/>
      <c r="I129" s="582"/>
      <c r="J129" s="583"/>
      <c r="K129" s="583"/>
      <c r="L129" s="583"/>
      <c r="M129" s="583"/>
      <c r="N129" s="583"/>
      <c r="O129" s="583"/>
      <c r="P129" s="584"/>
      <c r="Q129" s="582"/>
      <c r="R129" s="583"/>
      <c r="S129" s="583"/>
      <c r="T129" s="584"/>
      <c r="U129" s="560"/>
      <c r="V129" s="561"/>
      <c r="W129" s="561"/>
      <c r="X129" s="560"/>
      <c r="Y129" s="561"/>
      <c r="Z129" s="577"/>
      <c r="AA129" s="534"/>
      <c r="AB129" s="534"/>
      <c r="AC129" s="602" t="s">
        <v>798</v>
      </c>
      <c r="AD129" s="602" t="s">
        <v>799</v>
      </c>
      <c r="AE129" s="602" t="s">
        <v>800</v>
      </c>
      <c r="AF129" s="554"/>
      <c r="AG129" s="593"/>
      <c r="AH129" s="596"/>
      <c r="AI129" s="596"/>
      <c r="AJ129" s="534"/>
      <c r="AK129" s="534"/>
      <c r="AL129" s="534"/>
      <c r="AM129" s="534"/>
      <c r="AN129" s="599"/>
    </row>
    <row r="130" spans="1:44" ht="15" customHeight="1" x14ac:dyDescent="0.25">
      <c r="A130" s="574"/>
      <c r="B130" s="561"/>
      <c r="C130" s="561"/>
      <c r="D130" s="561"/>
      <c r="E130" s="560"/>
      <c r="F130" s="561"/>
      <c r="G130" s="561"/>
      <c r="H130" s="577"/>
      <c r="I130" s="582"/>
      <c r="J130" s="583"/>
      <c r="K130" s="583"/>
      <c r="L130" s="583"/>
      <c r="M130" s="583"/>
      <c r="N130" s="583"/>
      <c r="O130" s="583"/>
      <c r="P130" s="584"/>
      <c r="Q130" s="582"/>
      <c r="R130" s="583"/>
      <c r="S130" s="583"/>
      <c r="T130" s="584"/>
      <c r="U130" s="560"/>
      <c r="V130" s="561"/>
      <c r="W130" s="561"/>
      <c r="X130" s="560"/>
      <c r="Y130" s="561"/>
      <c r="Z130" s="577"/>
      <c r="AA130" s="589"/>
      <c r="AB130" s="589"/>
      <c r="AC130" s="603"/>
      <c r="AD130" s="603"/>
      <c r="AE130" s="603"/>
      <c r="AF130" s="554"/>
      <c r="AG130" s="594"/>
      <c r="AH130" s="597"/>
      <c r="AI130" s="597"/>
      <c r="AJ130" s="589"/>
      <c r="AK130" s="589"/>
      <c r="AL130" s="589"/>
      <c r="AM130" s="589"/>
      <c r="AN130" s="600"/>
    </row>
    <row r="131" spans="1:44" ht="15.75" thickBot="1" x14ac:dyDescent="0.3">
      <c r="A131" s="575"/>
      <c r="B131" s="563"/>
      <c r="C131" s="563"/>
      <c r="D131" s="563"/>
      <c r="E131" s="562"/>
      <c r="F131" s="563"/>
      <c r="G131" s="563"/>
      <c r="H131" s="578"/>
      <c r="I131" s="585"/>
      <c r="J131" s="586"/>
      <c r="K131" s="586"/>
      <c r="L131" s="586"/>
      <c r="M131" s="586"/>
      <c r="N131" s="586"/>
      <c r="O131" s="586"/>
      <c r="P131" s="587"/>
      <c r="Q131" s="585"/>
      <c r="R131" s="586"/>
      <c r="S131" s="586"/>
      <c r="T131" s="587"/>
      <c r="U131" s="562"/>
      <c r="V131" s="563"/>
      <c r="W131" s="563"/>
      <c r="X131" s="562"/>
      <c r="Y131" s="563"/>
      <c r="Z131" s="578"/>
      <c r="AA131" s="590"/>
      <c r="AB131" s="590"/>
      <c r="AC131" s="604"/>
      <c r="AD131" s="604"/>
      <c r="AE131" s="604"/>
      <c r="AF131" s="555"/>
      <c r="AG131" s="595"/>
      <c r="AH131" s="598"/>
      <c r="AI131" s="598"/>
      <c r="AJ131" s="590"/>
      <c r="AK131" s="590"/>
      <c r="AL131" s="590"/>
      <c r="AM131" s="590"/>
      <c r="AN131" s="601"/>
    </row>
    <row r="132" spans="1:44" s="374" customFormat="1" x14ac:dyDescent="0.25">
      <c r="A132" s="378" t="s">
        <v>801</v>
      </c>
      <c r="B132" s="370"/>
      <c r="C132" s="370"/>
      <c r="D132" s="370"/>
      <c r="E132" s="379"/>
      <c r="F132" s="379"/>
      <c r="G132" s="379"/>
      <c r="H132" s="378" t="str">
        <f>+B122</f>
        <v>INVERSIONES CLH S.A.</v>
      </c>
      <c r="I132" s="370"/>
      <c r="J132" s="370"/>
      <c r="K132" s="370"/>
      <c r="L132" s="370"/>
      <c r="M132" s="370"/>
      <c r="N132" s="370"/>
      <c r="O132" s="370"/>
      <c r="P132" s="370"/>
      <c r="Q132" s="370"/>
      <c r="R132" s="370"/>
      <c r="S132" s="379"/>
      <c r="T132" s="379"/>
      <c r="U132" s="379"/>
      <c r="V132" s="379"/>
      <c r="W132" s="379"/>
      <c r="X132" s="379"/>
      <c r="Y132" s="379"/>
      <c r="Z132" s="379"/>
      <c r="AA132" s="379"/>
      <c r="AB132" s="379"/>
      <c r="AC132" s="380"/>
      <c r="AD132" s="380"/>
      <c r="AE132" s="380"/>
      <c r="AF132" s="381"/>
      <c r="AG132" s="382"/>
      <c r="AH132" s="383"/>
      <c r="AI132" s="383"/>
      <c r="AJ132" s="379"/>
      <c r="AK132" s="379"/>
      <c r="AL132" s="379"/>
      <c r="AM132" s="379"/>
      <c r="AN132" s="379"/>
    </row>
    <row r="133" spans="1:44" ht="35.1" customHeight="1" x14ac:dyDescent="0.25">
      <c r="A133" s="509"/>
      <c r="B133" s="509"/>
      <c r="C133" s="509"/>
      <c r="D133" s="509"/>
      <c r="E133" s="509"/>
      <c r="F133" s="509"/>
      <c r="G133" s="509"/>
      <c r="H133" s="509"/>
      <c r="I133" s="509"/>
      <c r="J133" s="509"/>
      <c r="K133" s="509"/>
      <c r="L133" s="509"/>
      <c r="M133" s="509"/>
      <c r="N133" s="509"/>
      <c r="O133" s="509"/>
      <c r="P133" s="509"/>
      <c r="Q133" s="510">
        <v>647294711</v>
      </c>
      <c r="R133" s="511"/>
      <c r="S133" s="511"/>
      <c r="T133" s="512"/>
      <c r="U133" s="642">
        <v>42293</v>
      </c>
      <c r="V133" s="643"/>
      <c r="W133" s="644"/>
      <c r="X133" s="643"/>
      <c r="Y133" s="643"/>
      <c r="Z133" s="644"/>
      <c r="AA133" s="507">
        <v>120</v>
      </c>
      <c r="AB133" s="507"/>
      <c r="AC133" s="435"/>
      <c r="AD133" s="435" t="s">
        <v>533</v>
      </c>
      <c r="AE133" s="435"/>
      <c r="AF133" s="385">
        <v>0.6</v>
      </c>
      <c r="AG133" s="385">
        <f>+AH133/AA133</f>
        <v>0.25833333333333336</v>
      </c>
      <c r="AH133" s="407">
        <f>+AP133-U133+1</f>
        <v>31</v>
      </c>
      <c r="AI133" s="407">
        <f>+AA133-AH133</f>
        <v>89</v>
      </c>
      <c r="AJ133" s="513">
        <f>+(Q133/AA133)*AF133*AI133</f>
        <v>288046146.39500004</v>
      </c>
      <c r="AK133" s="513"/>
      <c r="AL133" s="513"/>
      <c r="AM133" s="513"/>
      <c r="AN133" s="513"/>
      <c r="AP133" s="406">
        <v>42323</v>
      </c>
      <c r="AQ133" s="405">
        <v>4</v>
      </c>
      <c r="AR133" s="405"/>
    </row>
    <row r="134" spans="1:44" ht="35.1" customHeight="1" x14ac:dyDescent="0.25">
      <c r="A134" s="509"/>
      <c r="B134" s="509"/>
      <c r="C134" s="509"/>
      <c r="D134" s="509"/>
      <c r="E134" s="509"/>
      <c r="F134" s="509"/>
      <c r="G134" s="509"/>
      <c r="H134" s="509"/>
      <c r="I134" s="509"/>
      <c r="J134" s="509"/>
      <c r="K134" s="509"/>
      <c r="L134" s="509"/>
      <c r="M134" s="509"/>
      <c r="N134" s="509"/>
      <c r="O134" s="509"/>
      <c r="P134" s="509"/>
      <c r="Q134" s="510">
        <v>1915263055</v>
      </c>
      <c r="R134" s="511"/>
      <c r="S134" s="511"/>
      <c r="T134" s="512"/>
      <c r="U134" s="642">
        <v>43991</v>
      </c>
      <c r="V134" s="643"/>
      <c r="W134" s="644"/>
      <c r="X134" s="643"/>
      <c r="Y134" s="643"/>
      <c r="Z134" s="644"/>
      <c r="AA134" s="507">
        <v>300</v>
      </c>
      <c r="AB134" s="507"/>
      <c r="AC134" s="435" t="s">
        <v>533</v>
      </c>
      <c r="AD134" s="435"/>
      <c r="AE134" s="435"/>
      <c r="AF134" s="385">
        <v>1</v>
      </c>
      <c r="AG134" s="385"/>
      <c r="AH134" s="407">
        <f t="shared" ref="AH134:AH139" si="15">+AP134-U134+1</f>
        <v>24</v>
      </c>
      <c r="AI134" s="407">
        <f t="shared" ref="AI134:AI139" si="16">+AA134-AH134</f>
        <v>276</v>
      </c>
      <c r="AJ134" s="513">
        <f t="shared" ref="AJ134:AJ139" si="17">+(Q134/AA134)*AF134*AI134</f>
        <v>1762042010.6000001</v>
      </c>
      <c r="AK134" s="513"/>
      <c r="AL134" s="513"/>
      <c r="AM134" s="513"/>
      <c r="AN134" s="513"/>
      <c r="AP134" s="406">
        <v>44014</v>
      </c>
      <c r="AQ134" s="405"/>
      <c r="AR134" s="405"/>
    </row>
    <row r="135" spans="1:44" ht="35.1" customHeight="1" x14ac:dyDescent="0.25">
      <c r="A135" s="509"/>
      <c r="B135" s="509"/>
      <c r="C135" s="509"/>
      <c r="D135" s="509"/>
      <c r="E135" s="509"/>
      <c r="F135" s="509"/>
      <c r="G135" s="509"/>
      <c r="H135" s="509"/>
      <c r="I135" s="509"/>
      <c r="J135" s="509"/>
      <c r="K135" s="509"/>
      <c r="L135" s="509"/>
      <c r="M135" s="509"/>
      <c r="N135" s="509"/>
      <c r="O135" s="509"/>
      <c r="P135" s="509"/>
      <c r="Q135" s="510">
        <v>10037111338</v>
      </c>
      <c r="R135" s="511"/>
      <c r="S135" s="511"/>
      <c r="T135" s="512"/>
      <c r="U135" s="642">
        <v>43633</v>
      </c>
      <c r="V135" s="643"/>
      <c r="W135" s="644"/>
      <c r="X135" s="643"/>
      <c r="Y135" s="643"/>
      <c r="Z135" s="644"/>
      <c r="AA135" s="507">
        <v>300</v>
      </c>
      <c r="AB135" s="507"/>
      <c r="AC135" s="435"/>
      <c r="AD135" s="435" t="s">
        <v>533</v>
      </c>
      <c r="AE135" s="435"/>
      <c r="AF135" s="385">
        <v>0.2</v>
      </c>
      <c r="AG135" s="385"/>
      <c r="AH135" s="407">
        <f t="shared" si="15"/>
        <v>270</v>
      </c>
      <c r="AI135" s="407">
        <f t="shared" si="16"/>
        <v>30</v>
      </c>
      <c r="AJ135" s="513">
        <f t="shared" si="17"/>
        <v>200742226.76000002</v>
      </c>
      <c r="AK135" s="513"/>
      <c r="AL135" s="513"/>
      <c r="AM135" s="513"/>
      <c r="AN135" s="513"/>
      <c r="AP135" s="406">
        <v>43902</v>
      </c>
      <c r="AQ135" s="405"/>
      <c r="AR135" s="405"/>
    </row>
    <row r="136" spans="1:44" ht="35.1" customHeight="1" x14ac:dyDescent="0.25">
      <c r="A136" s="509"/>
      <c r="B136" s="509"/>
      <c r="C136" s="509"/>
      <c r="D136" s="509"/>
      <c r="E136" s="509"/>
      <c r="F136" s="509"/>
      <c r="G136" s="509"/>
      <c r="H136" s="509"/>
      <c r="I136" s="509"/>
      <c r="J136" s="509"/>
      <c r="K136" s="509"/>
      <c r="L136" s="509"/>
      <c r="M136" s="509"/>
      <c r="N136" s="509"/>
      <c r="O136" s="509"/>
      <c r="P136" s="509"/>
      <c r="Q136" s="510">
        <v>217943196</v>
      </c>
      <c r="R136" s="511"/>
      <c r="S136" s="511"/>
      <c r="T136" s="512"/>
      <c r="U136" s="642">
        <v>43803</v>
      </c>
      <c r="V136" s="643"/>
      <c r="W136" s="644"/>
      <c r="X136" s="643"/>
      <c r="Y136" s="643"/>
      <c r="Z136" s="644"/>
      <c r="AA136" s="507">
        <v>90</v>
      </c>
      <c r="AB136" s="507"/>
      <c r="AC136" s="435" t="s">
        <v>533</v>
      </c>
      <c r="AD136" s="435"/>
      <c r="AE136" s="435"/>
      <c r="AF136" s="385">
        <v>1</v>
      </c>
      <c r="AG136" s="385"/>
      <c r="AH136" s="407">
        <f t="shared" si="15"/>
        <v>75</v>
      </c>
      <c r="AI136" s="407">
        <f t="shared" si="16"/>
        <v>15</v>
      </c>
      <c r="AJ136" s="513">
        <f t="shared" si="17"/>
        <v>36323866</v>
      </c>
      <c r="AK136" s="513"/>
      <c r="AL136" s="513"/>
      <c r="AM136" s="513"/>
      <c r="AN136" s="513"/>
      <c r="AP136" s="406">
        <v>43877</v>
      </c>
      <c r="AQ136" s="405"/>
      <c r="AR136" s="405"/>
    </row>
    <row r="137" spans="1:44" ht="35.1" customHeight="1" x14ac:dyDescent="0.25">
      <c r="A137" s="509"/>
      <c r="B137" s="509"/>
      <c r="C137" s="509"/>
      <c r="D137" s="509"/>
      <c r="E137" s="509"/>
      <c r="F137" s="509"/>
      <c r="G137" s="509"/>
      <c r="H137" s="509"/>
      <c r="I137" s="509"/>
      <c r="J137" s="509"/>
      <c r="K137" s="509"/>
      <c r="L137" s="509"/>
      <c r="M137" s="509"/>
      <c r="N137" s="509"/>
      <c r="O137" s="509"/>
      <c r="P137" s="509"/>
      <c r="Q137" s="510">
        <v>224610976</v>
      </c>
      <c r="R137" s="511"/>
      <c r="S137" s="511"/>
      <c r="T137" s="512"/>
      <c r="U137" s="642">
        <v>43768</v>
      </c>
      <c r="V137" s="643"/>
      <c r="W137" s="644"/>
      <c r="X137" s="643"/>
      <c r="Y137" s="643"/>
      <c r="Z137" s="644"/>
      <c r="AA137" s="507">
        <v>90</v>
      </c>
      <c r="AB137" s="507"/>
      <c r="AC137" s="435" t="s">
        <v>533</v>
      </c>
      <c r="AD137" s="435"/>
      <c r="AE137" s="435"/>
      <c r="AF137" s="385">
        <v>1</v>
      </c>
      <c r="AG137" s="385"/>
      <c r="AH137" s="407">
        <f t="shared" si="15"/>
        <v>54</v>
      </c>
      <c r="AI137" s="407">
        <f t="shared" si="16"/>
        <v>36</v>
      </c>
      <c r="AJ137" s="513">
        <f t="shared" si="17"/>
        <v>89844390.399999991</v>
      </c>
      <c r="AK137" s="513"/>
      <c r="AL137" s="513"/>
      <c r="AM137" s="513"/>
      <c r="AN137" s="513"/>
      <c r="AP137" s="406">
        <v>43821</v>
      </c>
      <c r="AQ137" s="405"/>
      <c r="AR137" s="405"/>
    </row>
    <row r="138" spans="1:44" ht="35.1" customHeight="1" x14ac:dyDescent="0.25">
      <c r="A138" s="509"/>
      <c r="B138" s="509"/>
      <c r="C138" s="509"/>
      <c r="D138" s="509"/>
      <c r="E138" s="509"/>
      <c r="F138" s="509"/>
      <c r="G138" s="509"/>
      <c r="H138" s="509"/>
      <c r="I138" s="509"/>
      <c r="J138" s="509"/>
      <c r="K138" s="509"/>
      <c r="L138" s="509"/>
      <c r="M138" s="509"/>
      <c r="N138" s="509"/>
      <c r="O138" s="509"/>
      <c r="P138" s="509"/>
      <c r="Q138" s="510">
        <v>1094761622</v>
      </c>
      <c r="R138" s="511"/>
      <c r="S138" s="511"/>
      <c r="T138" s="512"/>
      <c r="U138" s="642">
        <v>43753</v>
      </c>
      <c r="V138" s="643"/>
      <c r="W138" s="644"/>
      <c r="X138" s="643"/>
      <c r="Y138" s="643"/>
      <c r="Z138" s="644"/>
      <c r="AA138" s="507">
        <v>150</v>
      </c>
      <c r="AB138" s="507"/>
      <c r="AC138" s="435" t="s">
        <v>533</v>
      </c>
      <c r="AD138" s="435"/>
      <c r="AE138" s="435"/>
      <c r="AF138" s="385">
        <v>1</v>
      </c>
      <c r="AG138" s="385">
        <f t="shared" ref="AG138:AG139" si="18">+AH138/AA138</f>
        <v>0.98</v>
      </c>
      <c r="AH138" s="407">
        <f t="shared" si="15"/>
        <v>147</v>
      </c>
      <c r="AI138" s="407">
        <f t="shared" si="16"/>
        <v>3</v>
      </c>
      <c r="AJ138" s="513">
        <f t="shared" si="17"/>
        <v>21895232.440000001</v>
      </c>
      <c r="AK138" s="513"/>
      <c r="AL138" s="513"/>
      <c r="AM138" s="513"/>
      <c r="AN138" s="513"/>
      <c r="AP138" s="406">
        <v>43899</v>
      </c>
      <c r="AQ138" s="405"/>
      <c r="AR138" s="405"/>
    </row>
    <row r="139" spans="1:44" ht="35.1" customHeight="1" x14ac:dyDescent="0.25">
      <c r="A139" s="509"/>
      <c r="B139" s="509"/>
      <c r="C139" s="509"/>
      <c r="D139" s="509"/>
      <c r="E139" s="509"/>
      <c r="F139" s="509"/>
      <c r="G139" s="509"/>
      <c r="H139" s="509"/>
      <c r="I139" s="509"/>
      <c r="J139" s="509"/>
      <c r="K139" s="509"/>
      <c r="L139" s="509"/>
      <c r="M139" s="509"/>
      <c r="N139" s="509"/>
      <c r="O139" s="509"/>
      <c r="P139" s="509"/>
      <c r="Q139" s="510">
        <v>3536566653</v>
      </c>
      <c r="R139" s="511"/>
      <c r="S139" s="511"/>
      <c r="T139" s="512"/>
      <c r="U139" s="642">
        <v>43713</v>
      </c>
      <c r="V139" s="643"/>
      <c r="W139" s="644"/>
      <c r="X139" s="643"/>
      <c r="Y139" s="643"/>
      <c r="Z139" s="644"/>
      <c r="AA139" s="507">
        <v>300</v>
      </c>
      <c r="AB139" s="507"/>
      <c r="AC139" s="435" t="s">
        <v>533</v>
      </c>
      <c r="AD139" s="435"/>
      <c r="AE139" s="435"/>
      <c r="AF139" s="385">
        <v>1</v>
      </c>
      <c r="AG139" s="385">
        <f t="shared" si="18"/>
        <v>0.64666666666666661</v>
      </c>
      <c r="AH139" s="407">
        <f t="shared" si="15"/>
        <v>194</v>
      </c>
      <c r="AI139" s="407">
        <f t="shared" si="16"/>
        <v>106</v>
      </c>
      <c r="AJ139" s="513">
        <f t="shared" si="17"/>
        <v>1249586884.0599999</v>
      </c>
      <c r="AK139" s="513"/>
      <c r="AL139" s="513"/>
      <c r="AM139" s="513"/>
      <c r="AN139" s="513"/>
      <c r="AP139" s="406">
        <v>43906</v>
      </c>
      <c r="AQ139" s="405"/>
      <c r="AR139" s="405"/>
    </row>
    <row r="140" spans="1:44" x14ac:dyDescent="0.25">
      <c r="AD140" s="605" t="s">
        <v>802</v>
      </c>
      <c r="AE140" s="605"/>
      <c r="AF140" s="605"/>
      <c r="AG140" s="605"/>
      <c r="AH140" s="605"/>
      <c r="AI140" s="605"/>
      <c r="AJ140" s="606">
        <f>SUM(AJ133:AN139)</f>
        <v>3648480756.6550002</v>
      </c>
      <c r="AK140" s="607"/>
      <c r="AL140" s="607"/>
      <c r="AM140" s="607"/>
      <c r="AN140" s="607"/>
    </row>
    <row r="141" spans="1:44" s="374" customFormat="1" x14ac:dyDescent="0.25">
      <c r="A141" s="378" t="s">
        <v>801</v>
      </c>
      <c r="B141" s="370"/>
      <c r="C141" s="370"/>
      <c r="D141" s="370"/>
      <c r="E141" s="379"/>
      <c r="F141" s="379"/>
      <c r="G141" s="379"/>
      <c r="H141" s="378" t="str">
        <f>+B123</f>
        <v>ELECTRO PROYECTOS S.A.S.</v>
      </c>
      <c r="I141" s="370"/>
      <c r="J141" s="370"/>
      <c r="K141" s="370"/>
      <c r="L141" s="370"/>
      <c r="M141" s="370"/>
      <c r="N141" s="370"/>
      <c r="O141" s="370"/>
      <c r="P141" s="370"/>
      <c r="Q141" s="370"/>
      <c r="R141" s="370"/>
      <c r="S141" s="379"/>
      <c r="T141" s="379"/>
      <c r="U141" s="379"/>
      <c r="V141" s="379"/>
      <c r="W141" s="379"/>
      <c r="X141" s="379"/>
      <c r="Y141" s="379"/>
      <c r="Z141" s="379"/>
      <c r="AA141" s="379"/>
      <c r="AB141" s="379"/>
      <c r="AC141" s="380"/>
      <c r="AD141" s="380"/>
      <c r="AE141" s="380"/>
      <c r="AF141" s="381"/>
      <c r="AG141" s="382"/>
      <c r="AH141" s="383"/>
      <c r="AI141" s="383"/>
      <c r="AJ141" s="379"/>
      <c r="AK141" s="379"/>
      <c r="AL141" s="379"/>
      <c r="AM141" s="379"/>
      <c r="AN141" s="379"/>
    </row>
    <row r="142" spans="1:44" ht="35.1" customHeight="1" x14ac:dyDescent="0.25">
      <c r="A142" s="509"/>
      <c r="B142" s="509"/>
      <c r="C142" s="509"/>
      <c r="D142" s="509"/>
      <c r="E142" s="509"/>
      <c r="F142" s="509"/>
      <c r="G142" s="509"/>
      <c r="H142" s="509"/>
      <c r="I142" s="509"/>
      <c r="J142" s="509"/>
      <c r="K142" s="509"/>
      <c r="L142" s="509"/>
      <c r="M142" s="509"/>
      <c r="N142" s="509"/>
      <c r="O142" s="509"/>
      <c r="P142" s="509"/>
      <c r="Q142" s="510">
        <v>3165034397</v>
      </c>
      <c r="R142" s="511"/>
      <c r="S142" s="511"/>
      <c r="T142" s="512"/>
      <c r="U142" s="642">
        <v>43700</v>
      </c>
      <c r="V142" s="643"/>
      <c r="W142" s="644"/>
      <c r="X142" s="643"/>
      <c r="Y142" s="643"/>
      <c r="Z142" s="644"/>
      <c r="AA142" s="507">
        <v>240</v>
      </c>
      <c r="AB142" s="507"/>
      <c r="AC142" s="435" t="s">
        <v>533</v>
      </c>
      <c r="AD142" s="435"/>
      <c r="AE142" s="435"/>
      <c r="AF142" s="385">
        <v>1</v>
      </c>
      <c r="AG142" s="385">
        <f>+AH142/AA142</f>
        <v>0</v>
      </c>
      <c r="AH142" s="407">
        <v>0</v>
      </c>
      <c r="AI142" s="407">
        <f t="shared" ref="AI142" si="19">+AA142-AH142</f>
        <v>240</v>
      </c>
      <c r="AJ142" s="513">
        <f t="shared" ref="AJ142" si="20">+(Q142/AA142)*AF142*AI142</f>
        <v>3165034397</v>
      </c>
      <c r="AK142" s="513"/>
      <c r="AL142" s="513"/>
      <c r="AM142" s="513"/>
      <c r="AN142" s="513"/>
      <c r="AP142" s="406"/>
      <c r="AQ142" s="405"/>
      <c r="AR142" s="405"/>
    </row>
    <row r="143" spans="1:44" ht="35.1" customHeight="1" x14ac:dyDescent="0.25">
      <c r="A143" s="509"/>
      <c r="B143" s="509"/>
      <c r="C143" s="509"/>
      <c r="D143" s="509"/>
      <c r="E143" s="509"/>
      <c r="F143" s="509"/>
      <c r="G143" s="509"/>
      <c r="H143" s="509"/>
      <c r="I143" s="509"/>
      <c r="J143" s="509"/>
      <c r="K143" s="509"/>
      <c r="L143" s="509"/>
      <c r="M143" s="509"/>
      <c r="N143" s="509"/>
      <c r="O143" s="509"/>
      <c r="P143" s="509"/>
      <c r="Q143" s="510"/>
      <c r="R143" s="511"/>
      <c r="S143" s="511"/>
      <c r="T143" s="512"/>
      <c r="U143" s="642"/>
      <c r="V143" s="643"/>
      <c r="W143" s="644"/>
      <c r="X143" s="643"/>
      <c r="Y143" s="643"/>
      <c r="Z143" s="644"/>
      <c r="AA143" s="507"/>
      <c r="AB143" s="507"/>
      <c r="AC143" s="435"/>
      <c r="AD143" s="435"/>
      <c r="AE143" s="435"/>
      <c r="AF143" s="385"/>
      <c r="AG143" s="385"/>
      <c r="AH143" s="407"/>
      <c r="AI143" s="407"/>
      <c r="AJ143" s="513"/>
      <c r="AK143" s="513"/>
      <c r="AL143" s="513"/>
      <c r="AM143" s="513"/>
      <c r="AN143" s="513"/>
      <c r="AP143" s="406"/>
      <c r="AQ143" s="405"/>
      <c r="AR143" s="405"/>
    </row>
    <row r="144" spans="1:44" x14ac:dyDescent="0.25">
      <c r="AD144" s="605" t="s">
        <v>802</v>
      </c>
      <c r="AE144" s="605"/>
      <c r="AF144" s="605"/>
      <c r="AG144" s="605"/>
      <c r="AH144" s="605"/>
      <c r="AI144" s="605"/>
      <c r="AJ144" s="606">
        <f>SUM(AJ142:AN143)</f>
        <v>3165034397</v>
      </c>
      <c r="AK144" s="607"/>
      <c r="AL144" s="607"/>
      <c r="AM144" s="607"/>
      <c r="AN144" s="607"/>
    </row>
    <row r="145" spans="1:44" s="374" customFormat="1" x14ac:dyDescent="0.25">
      <c r="A145" s="378" t="s">
        <v>801</v>
      </c>
      <c r="B145" s="370"/>
      <c r="C145" s="370"/>
      <c r="D145" s="370"/>
      <c r="E145" s="379"/>
      <c r="F145" s="379"/>
      <c r="G145" s="379"/>
      <c r="H145" s="378" t="str">
        <f>+B124</f>
        <v>ALBERTO ANIBAL SANCHEZ LEMUS</v>
      </c>
      <c r="I145" s="370"/>
      <c r="J145" s="370"/>
      <c r="K145" s="370"/>
      <c r="L145" s="370"/>
      <c r="M145" s="370"/>
      <c r="N145" s="370"/>
      <c r="O145" s="370"/>
      <c r="P145" s="370"/>
      <c r="Q145" s="370"/>
      <c r="R145" s="370"/>
      <c r="S145" s="379"/>
      <c r="T145" s="379"/>
      <c r="U145" s="379"/>
      <c r="V145" s="379"/>
      <c r="W145" s="379"/>
      <c r="X145" s="379"/>
      <c r="Y145" s="379"/>
      <c r="Z145" s="379"/>
      <c r="AA145" s="379"/>
      <c r="AB145" s="379"/>
      <c r="AC145" s="380"/>
      <c r="AD145" s="380"/>
      <c r="AE145" s="380"/>
      <c r="AF145" s="381"/>
      <c r="AG145" s="382"/>
      <c r="AH145" s="383"/>
      <c r="AI145" s="383"/>
      <c r="AJ145" s="379"/>
      <c r="AK145" s="379"/>
      <c r="AL145" s="379"/>
      <c r="AM145" s="379"/>
      <c r="AN145" s="379"/>
    </row>
    <row r="146" spans="1:44" ht="35.1" customHeight="1" x14ac:dyDescent="0.25">
      <c r="A146" s="509"/>
      <c r="B146" s="509"/>
      <c r="C146" s="509"/>
      <c r="D146" s="509"/>
      <c r="E146" s="509"/>
      <c r="F146" s="509"/>
      <c r="G146" s="509"/>
      <c r="H146" s="509"/>
      <c r="I146" s="509"/>
      <c r="J146" s="509"/>
      <c r="K146" s="509"/>
      <c r="L146" s="509"/>
      <c r="M146" s="509"/>
      <c r="N146" s="509"/>
      <c r="O146" s="509"/>
      <c r="P146" s="509"/>
      <c r="Q146" s="510">
        <v>673361780</v>
      </c>
      <c r="R146" s="511"/>
      <c r="S146" s="511"/>
      <c r="T146" s="512"/>
      <c r="U146" s="642" t="s">
        <v>803</v>
      </c>
      <c r="V146" s="643"/>
      <c r="W146" s="644"/>
      <c r="X146" s="643"/>
      <c r="Y146" s="643"/>
      <c r="Z146" s="644"/>
      <c r="AA146" s="507">
        <v>60</v>
      </c>
      <c r="AB146" s="507"/>
      <c r="AC146" s="435"/>
      <c r="AD146" s="435" t="s">
        <v>533</v>
      </c>
      <c r="AE146" s="435"/>
      <c r="AF146" s="385">
        <v>0.34</v>
      </c>
      <c r="AG146" s="385">
        <f t="shared" ref="AG146" si="21">+AH146/AA146</f>
        <v>0</v>
      </c>
      <c r="AH146" s="407">
        <v>0</v>
      </c>
      <c r="AI146" s="407">
        <f t="shared" ref="AI146" si="22">+AA146-AH146</f>
        <v>60</v>
      </c>
      <c r="AJ146" s="513">
        <f t="shared" ref="AJ146" si="23">+(Q146/AA146)*AF146*AI146</f>
        <v>228943005.20000005</v>
      </c>
      <c r="AK146" s="513"/>
      <c r="AL146" s="513"/>
      <c r="AM146" s="513"/>
      <c r="AN146" s="513"/>
      <c r="AP146" s="406"/>
      <c r="AQ146" s="405"/>
      <c r="AR146" s="405"/>
    </row>
    <row r="147" spans="1:44" ht="35.1" customHeight="1" x14ac:dyDescent="0.25">
      <c r="A147" s="509"/>
      <c r="B147" s="509"/>
      <c r="C147" s="509"/>
      <c r="D147" s="509"/>
      <c r="E147" s="509"/>
      <c r="F147" s="509"/>
      <c r="G147" s="509"/>
      <c r="H147" s="509"/>
      <c r="I147" s="509"/>
      <c r="J147" s="509"/>
      <c r="K147" s="509"/>
      <c r="L147" s="509"/>
      <c r="M147" s="509"/>
      <c r="N147" s="509"/>
      <c r="O147" s="509"/>
      <c r="P147" s="509"/>
      <c r="Q147" s="510"/>
      <c r="R147" s="511"/>
      <c r="S147" s="511"/>
      <c r="T147" s="512"/>
      <c r="U147" s="642"/>
      <c r="V147" s="643"/>
      <c r="W147" s="644"/>
      <c r="X147" s="643"/>
      <c r="Y147" s="643"/>
      <c r="Z147" s="644"/>
      <c r="AA147" s="507"/>
      <c r="AB147" s="507"/>
      <c r="AC147" s="435"/>
      <c r="AD147" s="435"/>
      <c r="AE147" s="435"/>
      <c r="AF147" s="385"/>
      <c r="AG147" s="385"/>
      <c r="AH147" s="407"/>
      <c r="AI147" s="407"/>
      <c r="AJ147" s="513"/>
      <c r="AK147" s="513"/>
      <c r="AL147" s="513"/>
      <c r="AM147" s="513"/>
      <c r="AN147" s="513"/>
      <c r="AP147" s="406"/>
      <c r="AQ147" s="405"/>
      <c r="AR147" s="405"/>
    </row>
    <row r="148" spans="1:44" x14ac:dyDescent="0.25">
      <c r="AD148" s="605" t="s">
        <v>802</v>
      </c>
      <c r="AE148" s="605"/>
      <c r="AF148" s="605"/>
      <c r="AG148" s="605"/>
      <c r="AH148" s="605"/>
      <c r="AI148" s="605"/>
      <c r="AJ148" s="606">
        <f>SUM(AJ146:AN147)</f>
        <v>228943005.20000005</v>
      </c>
      <c r="AK148" s="607"/>
      <c r="AL148" s="607"/>
      <c r="AM148" s="607"/>
      <c r="AN148" s="607"/>
    </row>
    <row r="149" spans="1:44" ht="15.75" thickBot="1" x14ac:dyDescent="0.3"/>
    <row r="150" spans="1:44" ht="15.75" thickBot="1" x14ac:dyDescent="0.3">
      <c r="A150" s="386" t="s">
        <v>804</v>
      </c>
      <c r="F150" s="386" t="str">
        <f>+B122</f>
        <v>INVERSIONES CLH S.A.</v>
      </c>
      <c r="M150" s="386" t="s">
        <v>805</v>
      </c>
      <c r="T150" s="387" t="s">
        <v>805</v>
      </c>
      <c r="U150" s="608">
        <f>+AC122*((AI122+AK122+AM122)/100)-AJ140</f>
        <v>14436630153.545</v>
      </c>
      <c r="V150" s="609"/>
      <c r="W150" s="609"/>
      <c r="X150" s="609"/>
      <c r="Y150" s="609"/>
      <c r="Z150" s="609"/>
      <c r="AA150" s="609"/>
      <c r="AB150" s="610"/>
      <c r="AD150" s="454" t="s">
        <v>876</v>
      </c>
    </row>
    <row r="151" spans="1:44" ht="15.75" thickBot="1" x14ac:dyDescent="0.3">
      <c r="T151" s="387"/>
      <c r="AD151" s="454"/>
    </row>
    <row r="152" spans="1:44" ht="15.75" thickBot="1" x14ac:dyDescent="0.3">
      <c r="A152" s="386" t="s">
        <v>804</v>
      </c>
      <c r="F152" s="386" t="str">
        <f>+B123</f>
        <v>ELECTRO PROYECTOS S.A.S.</v>
      </c>
      <c r="M152" s="386" t="s">
        <v>805</v>
      </c>
      <c r="T152" s="387" t="s">
        <v>805</v>
      </c>
      <c r="U152" s="608">
        <f>+AC123*((AI123+AK123+AM123)/100)-AJ144</f>
        <v>10584512203</v>
      </c>
      <c r="V152" s="609"/>
      <c r="W152" s="609"/>
      <c r="X152" s="609"/>
      <c r="Y152" s="609"/>
      <c r="Z152" s="609"/>
      <c r="AA152" s="609"/>
      <c r="AB152" s="610"/>
      <c r="AD152" s="454" t="s">
        <v>876</v>
      </c>
    </row>
    <row r="153" spans="1:44" ht="15.75" thickBot="1" x14ac:dyDescent="0.3">
      <c r="T153" s="387"/>
      <c r="AD153" s="454"/>
    </row>
    <row r="154" spans="1:44" ht="15.75" thickBot="1" x14ac:dyDescent="0.3">
      <c r="A154" s="386" t="s">
        <v>804</v>
      </c>
      <c r="F154" s="386" t="str">
        <f>+B124</f>
        <v>ALBERTO ANIBAL SANCHEZ LEMUS</v>
      </c>
      <c r="M154" s="386" t="s">
        <v>805</v>
      </c>
      <c r="T154" s="387" t="s">
        <v>805</v>
      </c>
      <c r="U154" s="608">
        <f>+AC124*((AI124+AK124+AM124)/100)-AJ148</f>
        <v>12864216914.799999</v>
      </c>
      <c r="V154" s="609"/>
      <c r="W154" s="609"/>
      <c r="X154" s="609"/>
      <c r="Y154" s="609"/>
      <c r="Z154" s="609"/>
      <c r="AA154" s="609"/>
      <c r="AB154" s="610"/>
      <c r="AD154" s="454" t="s">
        <v>876</v>
      </c>
    </row>
    <row r="155" spans="1:44" ht="15.75" thickBot="1" x14ac:dyDescent="0.3">
      <c r="T155" s="387"/>
    </row>
    <row r="156" spans="1:44" ht="15.75" thickBot="1" x14ac:dyDescent="0.3">
      <c r="A156" s="386" t="s">
        <v>804</v>
      </c>
      <c r="F156" s="386" t="str">
        <f>+A115</f>
        <v>CONSORCIO DEPORTIVO 2020</v>
      </c>
      <c r="M156" s="386" t="s">
        <v>805</v>
      </c>
      <c r="T156" s="387" t="s">
        <v>805</v>
      </c>
      <c r="U156" s="608">
        <f>SUM(U150:AB155)</f>
        <v>37885359271.345001</v>
      </c>
      <c r="V156" s="609"/>
      <c r="W156" s="609"/>
      <c r="X156" s="609"/>
      <c r="Y156" s="609"/>
      <c r="Z156" s="609"/>
      <c r="AA156" s="609"/>
      <c r="AB156" s="610"/>
      <c r="AD156" s="611" t="str">
        <f>+IF(AI118&lt;=U156,"CUMPLE","NO CUMPLE")</f>
        <v>CUMPLE</v>
      </c>
      <c r="AE156" s="611"/>
      <c r="AF156" s="611"/>
    </row>
    <row r="161" spans="1:1" ht="15.75" x14ac:dyDescent="0.25">
      <c r="A161" s="32" t="s">
        <v>35</v>
      </c>
    </row>
    <row r="162" spans="1:1" x14ac:dyDescent="0.25">
      <c r="A162" s="39"/>
    </row>
    <row r="163" spans="1:1" x14ac:dyDescent="0.25">
      <c r="A163" s="39"/>
    </row>
    <row r="164" spans="1:1" x14ac:dyDescent="0.25">
      <c r="A164" s="39"/>
    </row>
    <row r="165" spans="1:1" ht="15.75" x14ac:dyDescent="0.25">
      <c r="A165" s="41"/>
    </row>
    <row r="166" spans="1:1" ht="15.75" x14ac:dyDescent="0.25">
      <c r="A166" s="42" t="s">
        <v>36</v>
      </c>
    </row>
    <row r="167" spans="1:1" ht="15.75" x14ac:dyDescent="0.25">
      <c r="A167" s="43" t="s">
        <v>391</v>
      </c>
    </row>
    <row r="168" spans="1:1" ht="15.75" x14ac:dyDescent="0.25">
      <c r="A168" s="43"/>
    </row>
    <row r="169" spans="1:1" ht="15.75" x14ac:dyDescent="0.25">
      <c r="A169" s="43"/>
    </row>
    <row r="170" spans="1:1" ht="15.75" x14ac:dyDescent="0.25">
      <c r="A170" s="43"/>
    </row>
    <row r="171" spans="1:1" ht="15.75" x14ac:dyDescent="0.25">
      <c r="A171" s="43"/>
    </row>
    <row r="172" spans="1:1" ht="15.75" x14ac:dyDescent="0.25">
      <c r="A172" s="42" t="s">
        <v>819</v>
      </c>
    </row>
    <row r="173" spans="1:1" ht="15.75" x14ac:dyDescent="0.25">
      <c r="A173" s="43" t="s">
        <v>391</v>
      </c>
    </row>
    <row r="174" spans="1:1" x14ac:dyDescent="0.25">
      <c r="A174" s="39"/>
    </row>
    <row r="175" spans="1:1" x14ac:dyDescent="0.25">
      <c r="A175" s="39"/>
    </row>
    <row r="176" spans="1:1" x14ac:dyDescent="0.25">
      <c r="A176" s="39"/>
    </row>
    <row r="177" spans="1:1" x14ac:dyDescent="0.25">
      <c r="A177" s="39"/>
    </row>
    <row r="178" spans="1:1" ht="15.75" x14ac:dyDescent="0.25">
      <c r="A178" s="42" t="s">
        <v>392</v>
      </c>
    </row>
    <row r="179" spans="1:1" ht="15.75" x14ac:dyDescent="0.25">
      <c r="A179" s="43" t="s">
        <v>391</v>
      </c>
    </row>
    <row r="180" spans="1:1" ht="15.75" x14ac:dyDescent="0.25">
      <c r="A180" s="43"/>
    </row>
    <row r="181" spans="1:1" ht="15.75" x14ac:dyDescent="0.25">
      <c r="A181" s="43"/>
    </row>
    <row r="182" spans="1:1" ht="15.75" x14ac:dyDescent="0.25">
      <c r="A182" s="43"/>
    </row>
    <row r="183" spans="1:1" ht="15.75" x14ac:dyDescent="0.25">
      <c r="A183" s="43"/>
    </row>
    <row r="184" spans="1:1" ht="15.75" x14ac:dyDescent="0.25">
      <c r="A184" s="42" t="s">
        <v>37</v>
      </c>
    </row>
    <row r="185" spans="1:1" ht="15.75" x14ac:dyDescent="0.25">
      <c r="A185" s="43" t="s">
        <v>38</v>
      </c>
    </row>
    <row r="186" spans="1:1" ht="15.75" x14ac:dyDescent="0.25">
      <c r="A186" s="43" t="s">
        <v>39</v>
      </c>
    </row>
  </sheetData>
  <mergeCells count="685">
    <mergeCell ref="W48:X48"/>
    <mergeCell ref="W49:X49"/>
    <mergeCell ref="W50:X50"/>
    <mergeCell ref="W51:X51"/>
    <mergeCell ref="Y47:Z47"/>
    <mergeCell ref="Y48:Z48"/>
    <mergeCell ref="Y49:Z49"/>
    <mergeCell ref="Y50:Z50"/>
    <mergeCell ref="Y51:Z51"/>
    <mergeCell ref="AJ100:AN100"/>
    <mergeCell ref="A101:D101"/>
    <mergeCell ref="E101:H101"/>
    <mergeCell ref="I101:P101"/>
    <mergeCell ref="Q101:T101"/>
    <mergeCell ref="AA101:AB101"/>
    <mergeCell ref="AJ101:AN101"/>
    <mergeCell ref="W38:X38"/>
    <mergeCell ref="W39:X39"/>
    <mergeCell ref="W40:X40"/>
    <mergeCell ref="W41:X41"/>
    <mergeCell ref="W42:X42"/>
    <mergeCell ref="W43:X43"/>
    <mergeCell ref="W44:X44"/>
    <mergeCell ref="Y41:Z41"/>
    <mergeCell ref="Y42:Z42"/>
    <mergeCell ref="Y43:Z43"/>
    <mergeCell ref="Y44:Z44"/>
    <mergeCell ref="U47:V47"/>
    <mergeCell ref="U48:V48"/>
    <mergeCell ref="U49:V49"/>
    <mergeCell ref="U50:V50"/>
    <mergeCell ref="U51:V51"/>
    <mergeCell ref="W47:X47"/>
    <mergeCell ref="A136:D136"/>
    <mergeCell ref="E136:H136"/>
    <mergeCell ref="I136:P136"/>
    <mergeCell ref="Q136:T136"/>
    <mergeCell ref="U136:W136"/>
    <mergeCell ref="X136:Z136"/>
    <mergeCell ref="AA136:AB136"/>
    <mergeCell ref="AJ136:AN136"/>
    <mergeCell ref="A137:D137"/>
    <mergeCell ref="E137:H137"/>
    <mergeCell ref="I137:P137"/>
    <mergeCell ref="Q137:T137"/>
    <mergeCell ref="U137:W137"/>
    <mergeCell ref="X137:Z137"/>
    <mergeCell ref="AA137:AB137"/>
    <mergeCell ref="AJ137:AN137"/>
    <mergeCell ref="AA134:AB134"/>
    <mergeCell ref="AJ134:AN134"/>
    <mergeCell ref="A135:D135"/>
    <mergeCell ref="E135:H135"/>
    <mergeCell ref="I135:P135"/>
    <mergeCell ref="Q135:T135"/>
    <mergeCell ref="U135:W135"/>
    <mergeCell ref="X135:Z135"/>
    <mergeCell ref="AA135:AB135"/>
    <mergeCell ref="AJ135:AN135"/>
    <mergeCell ref="AD148:AI148"/>
    <mergeCell ref="AJ148:AN148"/>
    <mergeCell ref="U150:AB150"/>
    <mergeCell ref="U152:AB152"/>
    <mergeCell ref="U154:AB154"/>
    <mergeCell ref="U156:AB156"/>
    <mergeCell ref="AD156:AF156"/>
    <mergeCell ref="A147:D147"/>
    <mergeCell ref="E147:H147"/>
    <mergeCell ref="I147:P147"/>
    <mergeCell ref="Q147:T147"/>
    <mergeCell ref="AA147:AB147"/>
    <mergeCell ref="AJ147:AN147"/>
    <mergeCell ref="AD144:AI144"/>
    <mergeCell ref="AJ144:AN144"/>
    <mergeCell ref="A146:D146"/>
    <mergeCell ref="E146:H146"/>
    <mergeCell ref="I146:P146"/>
    <mergeCell ref="Q146:T146"/>
    <mergeCell ref="AA146:AB146"/>
    <mergeCell ref="AJ146:AN146"/>
    <mergeCell ref="U147:W147"/>
    <mergeCell ref="X147:Z147"/>
    <mergeCell ref="U146:W146"/>
    <mergeCell ref="X146:Z146"/>
    <mergeCell ref="AJ143:AN143"/>
    <mergeCell ref="A143:D143"/>
    <mergeCell ref="E143:H143"/>
    <mergeCell ref="I143:P143"/>
    <mergeCell ref="Q143:T143"/>
    <mergeCell ref="AA143:AB143"/>
    <mergeCell ref="U143:W143"/>
    <mergeCell ref="X143:Z143"/>
    <mergeCell ref="AJ139:AN139"/>
    <mergeCell ref="AD140:AI140"/>
    <mergeCell ref="AJ140:AN140"/>
    <mergeCell ref="A142:D142"/>
    <mergeCell ref="E142:H142"/>
    <mergeCell ref="I142:P142"/>
    <mergeCell ref="Q142:T142"/>
    <mergeCell ref="AA142:AB142"/>
    <mergeCell ref="AJ142:AN142"/>
    <mergeCell ref="A139:D139"/>
    <mergeCell ref="E139:H139"/>
    <mergeCell ref="I139:P139"/>
    <mergeCell ref="Q139:T139"/>
    <mergeCell ref="AA139:AB139"/>
    <mergeCell ref="U139:W139"/>
    <mergeCell ref="X139:Z139"/>
    <mergeCell ref="U142:W142"/>
    <mergeCell ref="X142:Z142"/>
    <mergeCell ref="AJ133:AN133"/>
    <mergeCell ref="A138:D138"/>
    <mergeCell ref="E138:H138"/>
    <mergeCell ref="I138:P138"/>
    <mergeCell ref="Q138:T138"/>
    <mergeCell ref="AA138:AB138"/>
    <mergeCell ref="AJ138:AN138"/>
    <mergeCell ref="A133:D133"/>
    <mergeCell ref="E133:H133"/>
    <mergeCell ref="I133:P133"/>
    <mergeCell ref="Q133:T133"/>
    <mergeCell ref="AA133:AB133"/>
    <mergeCell ref="U133:W133"/>
    <mergeCell ref="X133:Z133"/>
    <mergeCell ref="U138:W138"/>
    <mergeCell ref="X138:Z138"/>
    <mergeCell ref="A134:D134"/>
    <mergeCell ref="E134:H134"/>
    <mergeCell ref="I134:P134"/>
    <mergeCell ref="Q134:T134"/>
    <mergeCell ref="U134:W134"/>
    <mergeCell ref="X134:Z134"/>
    <mergeCell ref="A126:D131"/>
    <mergeCell ref="E126:H131"/>
    <mergeCell ref="I126:P131"/>
    <mergeCell ref="Q126:T131"/>
    <mergeCell ref="AA126:AB131"/>
    <mergeCell ref="U124:V124"/>
    <mergeCell ref="AC126:AE128"/>
    <mergeCell ref="AF126:AF131"/>
    <mergeCell ref="AG126:AN126"/>
    <mergeCell ref="AG127:AG131"/>
    <mergeCell ref="AH127:AH131"/>
    <mergeCell ref="AI127:AI131"/>
    <mergeCell ref="AJ127:AN131"/>
    <mergeCell ref="AC129:AC131"/>
    <mergeCell ref="AD129:AD131"/>
    <mergeCell ref="AE129:AE131"/>
    <mergeCell ref="AI124:AJ124"/>
    <mergeCell ref="AK124:AL124"/>
    <mergeCell ref="AM124:AN124"/>
    <mergeCell ref="U126:W131"/>
    <mergeCell ref="X126:Z131"/>
    <mergeCell ref="AI123:AJ123"/>
    <mergeCell ref="AK123:AL123"/>
    <mergeCell ref="AM123:AN123"/>
    <mergeCell ref="B124:I124"/>
    <mergeCell ref="J124:K124"/>
    <mergeCell ref="L124:P124"/>
    <mergeCell ref="Q124:R124"/>
    <mergeCell ref="S124:T124"/>
    <mergeCell ref="B123:I123"/>
    <mergeCell ref="J123:K123"/>
    <mergeCell ref="L123:P123"/>
    <mergeCell ref="Q123:R123"/>
    <mergeCell ref="S123:T123"/>
    <mergeCell ref="U123:V123"/>
    <mergeCell ref="W123:AB123"/>
    <mergeCell ref="W124:AB124"/>
    <mergeCell ref="AC123:AH123"/>
    <mergeCell ref="AC124:AH124"/>
    <mergeCell ref="U122:V122"/>
    <mergeCell ref="AI122:AJ122"/>
    <mergeCell ref="AK122:AL122"/>
    <mergeCell ref="AM122:AN122"/>
    <mergeCell ref="AI121:AJ121"/>
    <mergeCell ref="AK121:AL121"/>
    <mergeCell ref="AM121:AN121"/>
    <mergeCell ref="U121:V121"/>
    <mergeCell ref="W121:AB121"/>
    <mergeCell ref="W122:AB122"/>
    <mergeCell ref="AC121:AH121"/>
    <mergeCell ref="AC122:AH122"/>
    <mergeCell ref="B122:I122"/>
    <mergeCell ref="J122:K122"/>
    <mergeCell ref="L122:P122"/>
    <mergeCell ref="Q122:R122"/>
    <mergeCell ref="S122:T122"/>
    <mergeCell ref="B121:I121"/>
    <mergeCell ref="J121:K121"/>
    <mergeCell ref="L121:P121"/>
    <mergeCell ref="Q121:R121"/>
    <mergeCell ref="S121:T121"/>
    <mergeCell ref="A119:H119"/>
    <mergeCell ref="I119:N119"/>
    <mergeCell ref="O119:T119"/>
    <mergeCell ref="U119:Z119"/>
    <mergeCell ref="AA119:AH119"/>
    <mergeCell ref="AI119:AN119"/>
    <mergeCell ref="A113:AN113"/>
    <mergeCell ref="A114:AN114"/>
    <mergeCell ref="A115:AN115"/>
    <mergeCell ref="A116:AN116"/>
    <mergeCell ref="A118:H118"/>
    <mergeCell ref="I118:N118"/>
    <mergeCell ref="O118:T118"/>
    <mergeCell ref="U118:Z118"/>
    <mergeCell ref="AA118:AH118"/>
    <mergeCell ref="AI118:AN118"/>
    <mergeCell ref="AD103:AI103"/>
    <mergeCell ref="AJ103:AN103"/>
    <mergeCell ref="U105:AB105"/>
    <mergeCell ref="U107:AB107"/>
    <mergeCell ref="U109:AB109"/>
    <mergeCell ref="U111:AB111"/>
    <mergeCell ref="AD111:AF111"/>
    <mergeCell ref="AJ99:AN99"/>
    <mergeCell ref="A102:D102"/>
    <mergeCell ref="E102:H102"/>
    <mergeCell ref="I102:P102"/>
    <mergeCell ref="Q102:T102"/>
    <mergeCell ref="AA102:AB102"/>
    <mergeCell ref="AJ102:AN102"/>
    <mergeCell ref="A99:D99"/>
    <mergeCell ref="E99:H99"/>
    <mergeCell ref="I99:P99"/>
    <mergeCell ref="Q99:T99"/>
    <mergeCell ref="AA99:AB99"/>
    <mergeCell ref="A100:D100"/>
    <mergeCell ref="E100:H100"/>
    <mergeCell ref="I100:P100"/>
    <mergeCell ref="Q100:T100"/>
    <mergeCell ref="AA100:AB100"/>
    <mergeCell ref="AD96:AI96"/>
    <mergeCell ref="AJ96:AN96"/>
    <mergeCell ref="A98:D98"/>
    <mergeCell ref="E98:H98"/>
    <mergeCell ref="I98:P98"/>
    <mergeCell ref="Q98:T98"/>
    <mergeCell ref="AA98:AB98"/>
    <mergeCell ref="AJ98:AN98"/>
    <mergeCell ref="A95:D95"/>
    <mergeCell ref="E95:H95"/>
    <mergeCell ref="I95:P95"/>
    <mergeCell ref="Q95:T95"/>
    <mergeCell ref="AA95:AB95"/>
    <mergeCell ref="U98:V98"/>
    <mergeCell ref="W98:X98"/>
    <mergeCell ref="Y98:Z98"/>
    <mergeCell ref="AJ94:AN94"/>
    <mergeCell ref="AD92:AI92"/>
    <mergeCell ref="AJ92:AN92"/>
    <mergeCell ref="A94:D94"/>
    <mergeCell ref="E94:H94"/>
    <mergeCell ref="I94:P94"/>
    <mergeCell ref="Q94:T94"/>
    <mergeCell ref="AA94:AB94"/>
    <mergeCell ref="AJ95:AN95"/>
    <mergeCell ref="AJ90:AN90"/>
    <mergeCell ref="A91:D91"/>
    <mergeCell ref="E91:H91"/>
    <mergeCell ref="I91:P91"/>
    <mergeCell ref="Q91:T91"/>
    <mergeCell ref="AA91:AB91"/>
    <mergeCell ref="AJ91:AN91"/>
    <mergeCell ref="A90:D90"/>
    <mergeCell ref="E90:H90"/>
    <mergeCell ref="I90:P90"/>
    <mergeCell ref="Q90:T90"/>
    <mergeCell ref="AA90:AB90"/>
    <mergeCell ref="U90:V90"/>
    <mergeCell ref="U91:V91"/>
    <mergeCell ref="W90:X90"/>
    <mergeCell ref="W91:X91"/>
    <mergeCell ref="Y90:Z90"/>
    <mergeCell ref="Y91:Z91"/>
    <mergeCell ref="AJ88:AN88"/>
    <mergeCell ref="A89:D89"/>
    <mergeCell ref="E89:H89"/>
    <mergeCell ref="I89:P89"/>
    <mergeCell ref="Q89:T89"/>
    <mergeCell ref="AA89:AB89"/>
    <mergeCell ref="AJ89:AN89"/>
    <mergeCell ref="A88:D88"/>
    <mergeCell ref="E88:H88"/>
    <mergeCell ref="I88:P88"/>
    <mergeCell ref="Q88:T88"/>
    <mergeCell ref="AA88:AB88"/>
    <mergeCell ref="U88:V88"/>
    <mergeCell ref="U89:V89"/>
    <mergeCell ref="W88:X88"/>
    <mergeCell ref="W89:X89"/>
    <mergeCell ref="Y88:Z88"/>
    <mergeCell ref="Y89:Z89"/>
    <mergeCell ref="A81:D86"/>
    <mergeCell ref="E81:H86"/>
    <mergeCell ref="I81:P86"/>
    <mergeCell ref="Q81:T86"/>
    <mergeCell ref="AA81:AB86"/>
    <mergeCell ref="U79:V79"/>
    <mergeCell ref="AC81:AE83"/>
    <mergeCell ref="AF81:AF86"/>
    <mergeCell ref="AG81:AN81"/>
    <mergeCell ref="AG82:AG86"/>
    <mergeCell ref="AH82:AH86"/>
    <mergeCell ref="AI82:AI86"/>
    <mergeCell ref="AJ82:AN86"/>
    <mergeCell ref="AC84:AC86"/>
    <mergeCell ref="AD84:AD86"/>
    <mergeCell ref="AE84:AE86"/>
    <mergeCell ref="AI79:AJ79"/>
    <mergeCell ref="AK79:AL79"/>
    <mergeCell ref="AM79:AN79"/>
    <mergeCell ref="W79:AB79"/>
    <mergeCell ref="AC79:AH79"/>
    <mergeCell ref="U81:V86"/>
    <mergeCell ref="W81:X86"/>
    <mergeCell ref="Y81:Z86"/>
    <mergeCell ref="AI78:AJ78"/>
    <mergeCell ref="AK78:AL78"/>
    <mergeCell ref="AM78:AN78"/>
    <mergeCell ref="B79:I79"/>
    <mergeCell ref="J79:K79"/>
    <mergeCell ref="L79:P79"/>
    <mergeCell ref="Q79:R79"/>
    <mergeCell ref="S79:T79"/>
    <mergeCell ref="B78:I78"/>
    <mergeCell ref="J78:K78"/>
    <mergeCell ref="L78:P78"/>
    <mergeCell ref="Q78:R78"/>
    <mergeCell ref="S78:T78"/>
    <mergeCell ref="U78:V78"/>
    <mergeCell ref="W78:AB78"/>
    <mergeCell ref="AC78:AH78"/>
    <mergeCell ref="U77:V77"/>
    <mergeCell ref="AI77:AJ77"/>
    <mergeCell ref="AK77:AL77"/>
    <mergeCell ref="AM77:AN77"/>
    <mergeCell ref="AI76:AJ76"/>
    <mergeCell ref="AK76:AL76"/>
    <mergeCell ref="AM76:AN76"/>
    <mergeCell ref="U76:V76"/>
    <mergeCell ref="B77:I77"/>
    <mergeCell ref="J77:K77"/>
    <mergeCell ref="L77:P77"/>
    <mergeCell ref="Q77:R77"/>
    <mergeCell ref="S77:T77"/>
    <mergeCell ref="B76:I76"/>
    <mergeCell ref="J76:K76"/>
    <mergeCell ref="L76:P76"/>
    <mergeCell ref="Q76:R76"/>
    <mergeCell ref="S76:T76"/>
    <mergeCell ref="W76:AB76"/>
    <mergeCell ref="W77:AB77"/>
    <mergeCell ref="AC76:AH76"/>
    <mergeCell ref="AC77:AH77"/>
    <mergeCell ref="A74:H74"/>
    <mergeCell ref="I74:N74"/>
    <mergeCell ref="O74:T74"/>
    <mergeCell ref="U74:Z74"/>
    <mergeCell ref="AA74:AH74"/>
    <mergeCell ref="AI74:AN74"/>
    <mergeCell ref="A73:H73"/>
    <mergeCell ref="I73:N73"/>
    <mergeCell ref="O73:T73"/>
    <mergeCell ref="U73:Z73"/>
    <mergeCell ref="AA73:AH73"/>
    <mergeCell ref="AI73:AN73"/>
    <mergeCell ref="U66:AB66"/>
    <mergeCell ref="AD66:AF66"/>
    <mergeCell ref="A68:AN68"/>
    <mergeCell ref="A69:AN69"/>
    <mergeCell ref="A70:AN70"/>
    <mergeCell ref="A71:AN71"/>
    <mergeCell ref="AJ57:AN57"/>
    <mergeCell ref="AD58:AI58"/>
    <mergeCell ref="AJ58:AN58"/>
    <mergeCell ref="U60:AB60"/>
    <mergeCell ref="U62:AB62"/>
    <mergeCell ref="U64:AB64"/>
    <mergeCell ref="A57:D57"/>
    <mergeCell ref="E57:H57"/>
    <mergeCell ref="I57:P57"/>
    <mergeCell ref="Q57:T57"/>
    <mergeCell ref="AA57:AB57"/>
    <mergeCell ref="U57:V57"/>
    <mergeCell ref="W57:X57"/>
    <mergeCell ref="Y57:Z57"/>
    <mergeCell ref="A31:D31"/>
    <mergeCell ref="AJ53:AN53"/>
    <mergeCell ref="AD54:AI54"/>
    <mergeCell ref="AJ54:AN54"/>
    <mergeCell ref="A56:D56"/>
    <mergeCell ref="E56:H56"/>
    <mergeCell ref="I56:P56"/>
    <mergeCell ref="Q56:T56"/>
    <mergeCell ref="AA56:AB56"/>
    <mergeCell ref="AJ56:AN56"/>
    <mergeCell ref="A53:D53"/>
    <mergeCell ref="E53:H53"/>
    <mergeCell ref="I53:P53"/>
    <mergeCell ref="Q53:T53"/>
    <mergeCell ref="AA53:AB53"/>
    <mergeCell ref="U53:V53"/>
    <mergeCell ref="W53:X53"/>
    <mergeCell ref="Y53:Z53"/>
    <mergeCell ref="U56:V56"/>
    <mergeCell ref="W56:X56"/>
    <mergeCell ref="Y56:Z56"/>
    <mergeCell ref="U31:V31"/>
    <mergeCell ref="U32:V32"/>
    <mergeCell ref="U33:V33"/>
    <mergeCell ref="AD45:AI45"/>
    <mergeCell ref="AJ45:AN45"/>
    <mergeCell ref="A47:D47"/>
    <mergeCell ref="E47:H47"/>
    <mergeCell ref="I47:P47"/>
    <mergeCell ref="Q47:T47"/>
    <mergeCell ref="AA47:AB47"/>
    <mergeCell ref="AJ47:AN47"/>
    <mergeCell ref="A44:D44"/>
    <mergeCell ref="E44:H44"/>
    <mergeCell ref="I44:P44"/>
    <mergeCell ref="Q44:T44"/>
    <mergeCell ref="AA44:AB44"/>
    <mergeCell ref="AJ44:AN44"/>
    <mergeCell ref="U44:V44"/>
    <mergeCell ref="E31:H31"/>
    <mergeCell ref="I31:P31"/>
    <mergeCell ref="AG22:AN22"/>
    <mergeCell ref="AG23:AG27"/>
    <mergeCell ref="AH23:AH27"/>
    <mergeCell ref="AI23:AI27"/>
    <mergeCell ref="AJ23:AN27"/>
    <mergeCell ref="AC25:AC27"/>
    <mergeCell ref="AD25:AD27"/>
    <mergeCell ref="AE25:AE27"/>
    <mergeCell ref="AJ29:AN29"/>
    <mergeCell ref="E30:H30"/>
    <mergeCell ref="I30:P30"/>
    <mergeCell ref="Q30:T30"/>
    <mergeCell ref="AA30:AB30"/>
    <mergeCell ref="AJ30:AN30"/>
    <mergeCell ref="U29:V29"/>
    <mergeCell ref="U30:V30"/>
    <mergeCell ref="W29:X29"/>
    <mergeCell ref="W30:X30"/>
    <mergeCell ref="W31:X31"/>
    <mergeCell ref="Y29:Z29"/>
    <mergeCell ref="Y30:Z30"/>
    <mergeCell ref="Y31:Z31"/>
    <mergeCell ref="A30:D30"/>
    <mergeCell ref="AC22:AE24"/>
    <mergeCell ref="AF22:AF27"/>
    <mergeCell ref="B20:I20"/>
    <mergeCell ref="J20:K20"/>
    <mergeCell ref="L20:P20"/>
    <mergeCell ref="Q20:R20"/>
    <mergeCell ref="S20:T20"/>
    <mergeCell ref="U22:V27"/>
    <mergeCell ref="W22:X27"/>
    <mergeCell ref="Y22:Z27"/>
    <mergeCell ref="A22:D27"/>
    <mergeCell ref="E22:H27"/>
    <mergeCell ref="I22:P27"/>
    <mergeCell ref="Q22:T27"/>
    <mergeCell ref="AA22:AB27"/>
    <mergeCell ref="A29:D29"/>
    <mergeCell ref="E29:H29"/>
    <mergeCell ref="I29:P29"/>
    <mergeCell ref="Q29:T29"/>
    <mergeCell ref="AA29:AB29"/>
    <mergeCell ref="B19:I19"/>
    <mergeCell ref="J19:K19"/>
    <mergeCell ref="L19:P19"/>
    <mergeCell ref="Q19:R19"/>
    <mergeCell ref="S19:T19"/>
    <mergeCell ref="U18:V18"/>
    <mergeCell ref="AI18:AJ18"/>
    <mergeCell ref="AK18:AL18"/>
    <mergeCell ref="AM18:AN18"/>
    <mergeCell ref="B18:I18"/>
    <mergeCell ref="J18:K18"/>
    <mergeCell ref="L18:P18"/>
    <mergeCell ref="Q18:R18"/>
    <mergeCell ref="S18:T18"/>
    <mergeCell ref="AI17:AJ17"/>
    <mergeCell ref="AK17:AL17"/>
    <mergeCell ref="AM17:AN17"/>
    <mergeCell ref="U17:V17"/>
    <mergeCell ref="AI20:AJ20"/>
    <mergeCell ref="AK20:AL20"/>
    <mergeCell ref="AM20:AN20"/>
    <mergeCell ref="AI19:AJ19"/>
    <mergeCell ref="AK19:AL19"/>
    <mergeCell ref="AM19:AN19"/>
    <mergeCell ref="U19:V19"/>
    <mergeCell ref="AC19:AH19"/>
    <mergeCell ref="AC20:AH20"/>
    <mergeCell ref="U20:V20"/>
    <mergeCell ref="B17:I17"/>
    <mergeCell ref="J17:K17"/>
    <mergeCell ref="L17:P17"/>
    <mergeCell ref="Q17:R17"/>
    <mergeCell ref="S17:T17"/>
    <mergeCell ref="A15:H15"/>
    <mergeCell ref="I15:N15"/>
    <mergeCell ref="O15:T15"/>
    <mergeCell ref="U15:Z15"/>
    <mergeCell ref="AA15:AH15"/>
    <mergeCell ref="AI15:AN15"/>
    <mergeCell ref="A7:AN7"/>
    <mergeCell ref="A9:AN9"/>
    <mergeCell ref="A10:AN10"/>
    <mergeCell ref="A11:AN11"/>
    <mergeCell ref="A12:AN12"/>
    <mergeCell ref="A14:H14"/>
    <mergeCell ref="I14:N14"/>
    <mergeCell ref="O14:T14"/>
    <mergeCell ref="U14:Z14"/>
    <mergeCell ref="AA14:AH14"/>
    <mergeCell ref="A1:AN1"/>
    <mergeCell ref="A2:AN2"/>
    <mergeCell ref="A3:AN3"/>
    <mergeCell ref="A4:AN4"/>
    <mergeCell ref="A5:AN5"/>
    <mergeCell ref="A6:AN6"/>
    <mergeCell ref="A48:D48"/>
    <mergeCell ref="E48:H48"/>
    <mergeCell ref="I48:P48"/>
    <mergeCell ref="Q48:T48"/>
    <mergeCell ref="AA48:AB48"/>
    <mergeCell ref="AJ48:AN48"/>
    <mergeCell ref="W17:AB17"/>
    <mergeCell ref="W18:AB18"/>
    <mergeCell ref="W19:AB19"/>
    <mergeCell ref="W20:AB20"/>
    <mergeCell ref="AC17:AH17"/>
    <mergeCell ref="AC18:AH18"/>
    <mergeCell ref="AI14:AN14"/>
    <mergeCell ref="Q31:T31"/>
    <mergeCell ref="AA31:AB31"/>
    <mergeCell ref="AJ31:AN31"/>
    <mergeCell ref="A32:D32"/>
    <mergeCell ref="E32:H32"/>
    <mergeCell ref="A49:D49"/>
    <mergeCell ref="E49:H49"/>
    <mergeCell ref="I49:P49"/>
    <mergeCell ref="Q49:T49"/>
    <mergeCell ref="AA49:AB49"/>
    <mergeCell ref="AJ49:AN49"/>
    <mergeCell ref="A50:D50"/>
    <mergeCell ref="E50:H50"/>
    <mergeCell ref="I50:P50"/>
    <mergeCell ref="Q50:T50"/>
    <mergeCell ref="AA50:AB50"/>
    <mergeCell ref="AJ50:AN50"/>
    <mergeCell ref="A52:D52"/>
    <mergeCell ref="E52:H52"/>
    <mergeCell ref="I52:P52"/>
    <mergeCell ref="Q52:T52"/>
    <mergeCell ref="AA52:AB52"/>
    <mergeCell ref="AJ52:AN52"/>
    <mergeCell ref="A51:D51"/>
    <mergeCell ref="E51:H51"/>
    <mergeCell ref="I51:P51"/>
    <mergeCell ref="Q51:T51"/>
    <mergeCell ref="AA51:AB51"/>
    <mergeCell ref="AJ51:AN51"/>
    <mergeCell ref="U52:V52"/>
    <mergeCell ref="W52:X52"/>
    <mergeCell ref="Y52:Z52"/>
    <mergeCell ref="I32:P32"/>
    <mergeCell ref="Q32:T32"/>
    <mergeCell ref="AA32:AB32"/>
    <mergeCell ref="AJ32:AN32"/>
    <mergeCell ref="A33:D33"/>
    <mergeCell ref="E33:H33"/>
    <mergeCell ref="I33:P33"/>
    <mergeCell ref="Q33:T33"/>
    <mergeCell ref="AA33:AB33"/>
    <mergeCell ref="AJ33:AN33"/>
    <mergeCell ref="W32:X32"/>
    <mergeCell ref="W33:X33"/>
    <mergeCell ref="Y32:Z32"/>
    <mergeCell ref="Y33:Z33"/>
    <mergeCell ref="A34:D34"/>
    <mergeCell ref="E34:H34"/>
    <mergeCell ref="I34:P34"/>
    <mergeCell ref="Q34:T34"/>
    <mergeCell ref="AA34:AB34"/>
    <mergeCell ref="AJ34:AN34"/>
    <mergeCell ref="A35:D35"/>
    <mergeCell ref="E35:H35"/>
    <mergeCell ref="I35:P35"/>
    <mergeCell ref="Q35:T35"/>
    <mergeCell ref="AA35:AB35"/>
    <mergeCell ref="AJ35:AN35"/>
    <mergeCell ref="U34:V34"/>
    <mergeCell ref="U35:V35"/>
    <mergeCell ref="W34:X34"/>
    <mergeCell ref="W35:X35"/>
    <mergeCell ref="Y34:Z34"/>
    <mergeCell ref="Y35:Z35"/>
    <mergeCell ref="A36:D36"/>
    <mergeCell ref="E36:H36"/>
    <mergeCell ref="I36:P36"/>
    <mergeCell ref="Q36:T36"/>
    <mergeCell ref="AA36:AB36"/>
    <mergeCell ref="AJ36:AN36"/>
    <mergeCell ref="A37:D37"/>
    <mergeCell ref="E37:H37"/>
    <mergeCell ref="I37:P37"/>
    <mergeCell ref="Q37:T37"/>
    <mergeCell ref="AA37:AB37"/>
    <mergeCell ref="AJ37:AN37"/>
    <mergeCell ref="U36:V36"/>
    <mergeCell ref="U37:V37"/>
    <mergeCell ref="W36:X36"/>
    <mergeCell ref="W37:X37"/>
    <mergeCell ref="Y36:Z36"/>
    <mergeCell ref="Y37:Z37"/>
    <mergeCell ref="A38:D38"/>
    <mergeCell ref="E38:H38"/>
    <mergeCell ref="I38:P38"/>
    <mergeCell ref="Q38:T38"/>
    <mergeCell ref="AA38:AB38"/>
    <mergeCell ref="AJ38:AN38"/>
    <mergeCell ref="U38:V38"/>
    <mergeCell ref="Y38:Z38"/>
    <mergeCell ref="A39:D39"/>
    <mergeCell ref="E39:H39"/>
    <mergeCell ref="I39:P39"/>
    <mergeCell ref="Q39:T39"/>
    <mergeCell ref="AA39:AB39"/>
    <mergeCell ref="AJ39:AN39"/>
    <mergeCell ref="A40:D40"/>
    <mergeCell ref="E40:H40"/>
    <mergeCell ref="I40:P40"/>
    <mergeCell ref="Q40:T40"/>
    <mergeCell ref="AA40:AB40"/>
    <mergeCell ref="AJ40:AN40"/>
    <mergeCell ref="U39:V39"/>
    <mergeCell ref="U40:V40"/>
    <mergeCell ref="Y39:Z39"/>
    <mergeCell ref="Y40:Z40"/>
    <mergeCell ref="A43:D43"/>
    <mergeCell ref="E43:H43"/>
    <mergeCell ref="I43:P43"/>
    <mergeCell ref="Q43:T43"/>
    <mergeCell ref="AA43:AB43"/>
    <mergeCell ref="AJ43:AN43"/>
    <mergeCell ref="A41:D41"/>
    <mergeCell ref="E41:H41"/>
    <mergeCell ref="I41:P41"/>
    <mergeCell ref="Q41:T41"/>
    <mergeCell ref="AA41:AB41"/>
    <mergeCell ref="AJ41:AN41"/>
    <mergeCell ref="A42:D42"/>
    <mergeCell ref="E42:H42"/>
    <mergeCell ref="I42:P42"/>
    <mergeCell ref="Q42:T42"/>
    <mergeCell ref="AA42:AB42"/>
    <mergeCell ref="AJ42:AN42"/>
    <mergeCell ref="U41:V41"/>
    <mergeCell ref="U42:V42"/>
    <mergeCell ref="U43:V43"/>
    <mergeCell ref="U102:V102"/>
    <mergeCell ref="W102:X102"/>
    <mergeCell ref="Y102:Z102"/>
    <mergeCell ref="U94:V94"/>
    <mergeCell ref="W94:X94"/>
    <mergeCell ref="Y94:Z94"/>
    <mergeCell ref="U95:V95"/>
    <mergeCell ref="W95:X95"/>
    <mergeCell ref="Y95:Z95"/>
    <mergeCell ref="U99:V99"/>
    <mergeCell ref="W99:X99"/>
    <mergeCell ref="Y99:Z99"/>
    <mergeCell ref="U100:V100"/>
    <mergeCell ref="W100:X100"/>
    <mergeCell ref="Y100:Z100"/>
    <mergeCell ref="U101:V101"/>
    <mergeCell ref="W101:X101"/>
    <mergeCell ref="Y101:Z101"/>
  </mergeCells>
  <conditionalFormatting sqref="AD156:AF156">
    <cfRule type="cellIs" dxfId="125" priority="5" operator="equal">
      <formula>"NO CUMPLE"</formula>
    </cfRule>
    <cfRule type="cellIs" dxfId="124" priority="6" operator="equal">
      <formula>"CUMPLE"</formula>
    </cfRule>
  </conditionalFormatting>
  <conditionalFormatting sqref="AD66:AF66">
    <cfRule type="cellIs" dxfId="123" priority="3" operator="equal">
      <formula>"NO CUMPLE"</formula>
    </cfRule>
    <cfRule type="cellIs" dxfId="122" priority="4" operator="equal">
      <formula>"CUMPLE"</formula>
    </cfRule>
  </conditionalFormatting>
  <conditionalFormatting sqref="AD111:AF111">
    <cfRule type="cellIs" dxfId="121" priority="1" operator="equal">
      <formula>"NO CUMPLE"</formula>
    </cfRule>
    <cfRule type="cellIs" dxfId="120" priority="2" operator="equal">
      <formula>"CUMPLE"</formula>
    </cfRule>
  </conditionalFormatting>
  <printOptions horizontalCentered="1"/>
  <pageMargins left="0.59055118110236227" right="0.59055118110236227" top="0.59055118110236227" bottom="0.59055118110236227" header="0.31496062992125984" footer="0.31496062992125984"/>
  <pageSetup scale="6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2"/>
  <sheetViews>
    <sheetView view="pageBreakPreview" topLeftCell="A9" zoomScale="70" zoomScaleNormal="80" zoomScaleSheetLayoutView="70" workbookViewId="0">
      <pane xSplit="3" ySplit="3" topLeftCell="D33" activePane="bottomRight" state="frozen"/>
      <selection activeCell="A9" sqref="A9"/>
      <selection pane="topRight" activeCell="D9" sqref="D9"/>
      <selection pane="bottomLeft" activeCell="A12" sqref="A12"/>
      <selection pane="bottomRight" activeCell="B39" sqref="B39"/>
    </sheetView>
  </sheetViews>
  <sheetFormatPr baseColWidth="10" defaultColWidth="11.42578125" defaultRowHeight="12.75" x14ac:dyDescent="0.2"/>
  <cols>
    <col min="1" max="1" width="11.42578125" style="95"/>
    <col min="2" max="2" width="130.7109375" style="95" customWidth="1"/>
    <col min="3" max="3" width="16" style="106" customWidth="1"/>
    <col min="4" max="4" width="16" style="95" customWidth="1"/>
    <col min="5" max="5" width="60.7109375" style="95" customWidth="1"/>
    <col min="6" max="7" width="15.7109375" style="95" customWidth="1"/>
    <col min="8" max="8" width="60.7109375" style="95" customWidth="1"/>
    <col min="9" max="10" width="15.7109375" style="95" customWidth="1"/>
    <col min="11" max="11" width="60.7109375" style="95" customWidth="1"/>
    <col min="12" max="12" width="15.7109375" style="95" customWidth="1"/>
    <col min="13" max="16384" width="11.42578125" style="95"/>
  </cols>
  <sheetData>
    <row r="1" spans="1:12" s="30" customFormat="1" ht="15.75" x14ac:dyDescent="0.25">
      <c r="A1" s="463" t="s">
        <v>28</v>
      </c>
      <c r="B1" s="463"/>
      <c r="C1" s="463"/>
      <c r="D1" s="29"/>
    </row>
    <row r="2" spans="1:12" s="30" customFormat="1" ht="15.75" x14ac:dyDescent="0.25">
      <c r="A2" s="463" t="s">
        <v>29</v>
      </c>
      <c r="B2" s="463"/>
      <c r="C2" s="463"/>
      <c r="D2" s="29"/>
    </row>
    <row r="3" spans="1:12" s="30" customFormat="1" x14ac:dyDescent="0.25">
      <c r="A3" s="462"/>
      <c r="B3" s="462"/>
      <c r="C3" s="462"/>
      <c r="D3" s="31"/>
    </row>
    <row r="4" spans="1:12" s="30" customFormat="1" ht="15.75" x14ac:dyDescent="0.25">
      <c r="A4" s="463" t="str">
        <f>+'VERIFICACIÓN TÉCNICA'!A4</f>
        <v>CONVOCATORIA PÚBLICA N° 013 DE 2020</v>
      </c>
      <c r="B4" s="463"/>
      <c r="C4" s="463"/>
      <c r="D4" s="29"/>
    </row>
    <row r="5" spans="1:12" s="30" customFormat="1" ht="33" customHeight="1" x14ac:dyDescent="0.25">
      <c r="A5" s="646" t="str">
        <f>+'VERIFICACIÓN TÉCNICA'!A7</f>
        <v xml:space="preserve">OBJETO: CONSTRUCCIÓN DE OBRAS PARA EL MEJORAMIENTO DE LAS CONDICIONES DEL CENTRO DEPORTIVO UNIVERSITARIO TULCÁN DE LA UNIVERSIDAD DEL CAUCA EN EL MUNICIPIO DE POPAYÁN, DEPARTAMENTO DEL CAUCA. </v>
      </c>
      <c r="B5" s="646"/>
      <c r="C5" s="646"/>
      <c r="D5" s="111"/>
    </row>
    <row r="6" spans="1:12" s="30" customFormat="1" ht="15.75" x14ac:dyDescent="0.25">
      <c r="A6" s="646"/>
      <c r="B6" s="646"/>
      <c r="C6" s="646"/>
      <c r="D6" s="191"/>
    </row>
    <row r="7" spans="1:12" s="30" customFormat="1" ht="15.75" x14ac:dyDescent="0.25">
      <c r="A7" s="463" t="s">
        <v>818</v>
      </c>
      <c r="B7" s="463"/>
      <c r="C7" s="463"/>
      <c r="D7" s="29"/>
    </row>
    <row r="8" spans="1:12" s="92" customFormat="1" x14ac:dyDescent="0.2">
      <c r="A8" s="90"/>
      <c r="B8" s="91"/>
      <c r="C8" s="104"/>
      <c r="D8" s="91"/>
      <c r="E8" s="91"/>
      <c r="F8" s="91"/>
      <c r="G8" s="91"/>
      <c r="H8" s="91"/>
      <c r="I8" s="91"/>
      <c r="J8" s="91"/>
      <c r="K8" s="91"/>
      <c r="L8" s="91"/>
    </row>
    <row r="9" spans="1:12" ht="15" x14ac:dyDescent="0.2">
      <c r="A9" s="93"/>
      <c r="B9" s="94"/>
      <c r="C9" s="105"/>
      <c r="D9" s="662">
        <v>1</v>
      </c>
      <c r="E9" s="663"/>
      <c r="F9" s="664"/>
      <c r="G9" s="662">
        <v>2</v>
      </c>
      <c r="H9" s="665"/>
      <c r="I9" s="666"/>
      <c r="J9" s="662">
        <v>3</v>
      </c>
      <c r="K9" s="665"/>
      <c r="L9" s="666"/>
    </row>
    <row r="10" spans="1:12" ht="62.25" customHeight="1" x14ac:dyDescent="0.2">
      <c r="A10" s="667" t="s">
        <v>77</v>
      </c>
      <c r="B10" s="669" t="s">
        <v>31</v>
      </c>
      <c r="C10" s="671" t="s">
        <v>389</v>
      </c>
      <c r="D10" s="647" t="str">
        <f>+'VERIFICACIÓN TÉCNICA'!C10</f>
        <v>CONSORCIO TULCAN 2020</v>
      </c>
      <c r="E10" s="648"/>
      <c r="F10" s="649"/>
      <c r="G10" s="647" t="str">
        <f>+'VERIFICACIÓN TÉCNICA'!E10</f>
        <v>CONSORCIO UNIDEPOR 2020</v>
      </c>
      <c r="H10" s="648"/>
      <c r="I10" s="649"/>
      <c r="J10" s="647" t="str">
        <f>+'VERIFICACIÓN TÉCNICA'!G10</f>
        <v>CONSORCIO DEPORTIVO 2020</v>
      </c>
      <c r="K10" s="648"/>
      <c r="L10" s="649"/>
    </row>
    <row r="11" spans="1:12" x14ac:dyDescent="0.2">
      <c r="A11" s="668"/>
      <c r="B11" s="670"/>
      <c r="C11" s="672"/>
      <c r="D11" s="112" t="s">
        <v>32</v>
      </c>
      <c r="E11" s="96" t="str">
        <f>'[26]VERIFICACION TECNICA'!F11</f>
        <v>VALOR/ OBSERVACION</v>
      </c>
      <c r="F11" s="96" t="s">
        <v>78</v>
      </c>
      <c r="G11" s="97" t="s">
        <v>32</v>
      </c>
      <c r="H11" s="96" t="s">
        <v>33</v>
      </c>
      <c r="I11" s="97" t="s">
        <v>78</v>
      </c>
      <c r="J11" s="97" t="s">
        <v>32</v>
      </c>
      <c r="K11" s="97" t="s">
        <v>33</v>
      </c>
      <c r="L11" s="97" t="s">
        <v>78</v>
      </c>
    </row>
    <row r="12" spans="1:12" s="119" customFormat="1" ht="15.75" x14ac:dyDescent="0.2">
      <c r="A12" s="114"/>
      <c r="B12" s="115" t="s">
        <v>743</v>
      </c>
      <c r="C12" s="116"/>
      <c r="D12" s="117"/>
      <c r="E12" s="118"/>
      <c r="F12" s="118"/>
      <c r="G12" s="118"/>
      <c r="H12" s="118"/>
      <c r="I12" s="118"/>
      <c r="J12" s="118"/>
      <c r="K12" s="118"/>
      <c r="L12" s="118"/>
    </row>
    <row r="13" spans="1:12" ht="57" customHeight="1" x14ac:dyDescent="0.2">
      <c r="A13" s="653" t="s">
        <v>752</v>
      </c>
      <c r="B13" s="357" t="s">
        <v>747</v>
      </c>
      <c r="C13" s="656">
        <v>100</v>
      </c>
      <c r="D13" s="99" t="s">
        <v>386</v>
      </c>
      <c r="E13" s="436" t="s">
        <v>857</v>
      </c>
      <c r="F13" s="659">
        <v>0</v>
      </c>
      <c r="G13" s="98" t="s">
        <v>386</v>
      </c>
      <c r="H13" s="436" t="s">
        <v>905</v>
      </c>
      <c r="I13" s="659">
        <v>0</v>
      </c>
      <c r="J13" s="99"/>
      <c r="K13" s="192"/>
      <c r="L13" s="659">
        <v>0</v>
      </c>
    </row>
    <row r="14" spans="1:12" ht="99" customHeight="1" x14ac:dyDescent="0.2">
      <c r="A14" s="654"/>
      <c r="B14" s="358" t="s">
        <v>745</v>
      </c>
      <c r="C14" s="657"/>
      <c r="D14" s="356" t="s">
        <v>386</v>
      </c>
      <c r="E14" s="437" t="s">
        <v>858</v>
      </c>
      <c r="F14" s="660"/>
      <c r="G14" s="360" t="s">
        <v>386</v>
      </c>
      <c r="H14" s="437" t="s">
        <v>906</v>
      </c>
      <c r="I14" s="660"/>
      <c r="J14" s="361"/>
      <c r="K14" s="359"/>
      <c r="L14" s="660"/>
    </row>
    <row r="15" spans="1:12" ht="297" customHeight="1" x14ac:dyDescent="0.2">
      <c r="A15" s="654"/>
      <c r="B15" s="358" t="s">
        <v>758</v>
      </c>
      <c r="C15" s="657"/>
      <c r="D15" s="356" t="s">
        <v>388</v>
      </c>
      <c r="E15" s="438" t="s">
        <v>863</v>
      </c>
      <c r="F15" s="660"/>
      <c r="G15" s="360" t="s">
        <v>388</v>
      </c>
      <c r="H15" s="430" t="s">
        <v>907</v>
      </c>
      <c r="I15" s="660"/>
      <c r="J15" s="361"/>
      <c r="K15" s="359"/>
      <c r="L15" s="660"/>
    </row>
    <row r="16" spans="1:12" ht="95.25" customHeight="1" x14ac:dyDescent="0.2">
      <c r="A16" s="654"/>
      <c r="B16" s="358" t="s">
        <v>746</v>
      </c>
      <c r="C16" s="657"/>
      <c r="D16" s="356" t="s">
        <v>387</v>
      </c>
      <c r="E16" s="437" t="s">
        <v>387</v>
      </c>
      <c r="F16" s="660"/>
      <c r="G16" s="360" t="s">
        <v>387</v>
      </c>
      <c r="H16" s="453" t="s">
        <v>387</v>
      </c>
      <c r="I16" s="660"/>
      <c r="J16" s="361"/>
      <c r="K16" s="359"/>
      <c r="L16" s="660"/>
    </row>
    <row r="17" spans="1:12" ht="150" customHeight="1" x14ac:dyDescent="0.2">
      <c r="A17" s="655"/>
      <c r="B17" s="358" t="s">
        <v>760</v>
      </c>
      <c r="C17" s="658"/>
      <c r="D17" s="356" t="s">
        <v>388</v>
      </c>
      <c r="E17" s="430" t="s">
        <v>859</v>
      </c>
      <c r="F17" s="661"/>
      <c r="G17" s="360" t="s">
        <v>386</v>
      </c>
      <c r="H17" s="430" t="s">
        <v>902</v>
      </c>
      <c r="I17" s="661"/>
      <c r="J17" s="361"/>
      <c r="K17" s="359"/>
      <c r="L17" s="661"/>
    </row>
    <row r="18" spans="1:12" s="119" customFormat="1" ht="16.5" x14ac:dyDescent="0.2">
      <c r="A18" s="114"/>
      <c r="B18" s="115" t="s">
        <v>744</v>
      </c>
      <c r="C18" s="116"/>
      <c r="D18" s="117"/>
      <c r="E18" s="433"/>
      <c r="F18" s="118"/>
      <c r="G18" s="118"/>
      <c r="H18" s="120"/>
      <c r="I18" s="118"/>
      <c r="J18" s="118"/>
      <c r="K18" s="120"/>
      <c r="L18" s="118"/>
    </row>
    <row r="19" spans="1:12" ht="77.25" customHeight="1" x14ac:dyDescent="0.2">
      <c r="A19" s="653" t="s">
        <v>751</v>
      </c>
      <c r="B19" s="357" t="s">
        <v>748</v>
      </c>
      <c r="C19" s="656">
        <v>100</v>
      </c>
      <c r="D19" s="356" t="s">
        <v>386</v>
      </c>
      <c r="E19" s="436" t="s">
        <v>860</v>
      </c>
      <c r="F19" s="659">
        <v>0</v>
      </c>
      <c r="G19" s="354" t="s">
        <v>386</v>
      </c>
      <c r="H19" s="436" t="s">
        <v>908</v>
      </c>
      <c r="I19" s="659">
        <v>0</v>
      </c>
      <c r="J19" s="356"/>
      <c r="K19" s="355"/>
      <c r="L19" s="659">
        <v>0</v>
      </c>
    </row>
    <row r="20" spans="1:12" ht="96" customHeight="1" x14ac:dyDescent="0.2">
      <c r="A20" s="654"/>
      <c r="B20" s="362" t="s">
        <v>749</v>
      </c>
      <c r="C20" s="657"/>
      <c r="D20" s="356" t="s">
        <v>386</v>
      </c>
      <c r="E20" s="430" t="s">
        <v>861</v>
      </c>
      <c r="F20" s="660"/>
      <c r="G20" s="354" t="s">
        <v>386</v>
      </c>
      <c r="H20" s="430" t="s">
        <v>909</v>
      </c>
      <c r="I20" s="660"/>
      <c r="J20" s="356"/>
      <c r="K20" s="355"/>
      <c r="L20" s="660"/>
    </row>
    <row r="21" spans="1:12" ht="297" customHeight="1" x14ac:dyDescent="0.2">
      <c r="A21" s="654"/>
      <c r="B21" s="362" t="s">
        <v>867</v>
      </c>
      <c r="C21" s="657"/>
      <c r="D21" s="356" t="s">
        <v>388</v>
      </c>
      <c r="E21" s="438" t="s">
        <v>866</v>
      </c>
      <c r="F21" s="660"/>
      <c r="G21" s="354" t="s">
        <v>388</v>
      </c>
      <c r="H21" s="438" t="s">
        <v>910</v>
      </c>
      <c r="I21" s="660"/>
      <c r="J21" s="356"/>
      <c r="K21" s="355"/>
      <c r="L21" s="660"/>
    </row>
    <row r="22" spans="1:12" ht="96" customHeight="1" x14ac:dyDescent="0.2">
      <c r="A22" s="654"/>
      <c r="B22" s="362" t="s">
        <v>750</v>
      </c>
      <c r="C22" s="657"/>
      <c r="D22" s="356" t="s">
        <v>387</v>
      </c>
      <c r="E22" s="402" t="s">
        <v>387</v>
      </c>
      <c r="F22" s="660"/>
      <c r="G22" s="354" t="s">
        <v>387</v>
      </c>
      <c r="H22" s="402" t="s">
        <v>387</v>
      </c>
      <c r="I22" s="660"/>
      <c r="J22" s="356"/>
      <c r="K22" s="355"/>
      <c r="L22" s="660"/>
    </row>
    <row r="23" spans="1:12" ht="150" customHeight="1" x14ac:dyDescent="0.2">
      <c r="A23" s="655"/>
      <c r="B23" s="358" t="s">
        <v>760</v>
      </c>
      <c r="C23" s="658"/>
      <c r="D23" s="356" t="s">
        <v>386</v>
      </c>
      <c r="E23" s="430" t="s">
        <v>862</v>
      </c>
      <c r="F23" s="661"/>
      <c r="G23" s="354" t="s">
        <v>386</v>
      </c>
      <c r="H23" s="430" t="s">
        <v>911</v>
      </c>
      <c r="I23" s="661"/>
      <c r="J23" s="356"/>
      <c r="K23" s="355"/>
      <c r="L23" s="661"/>
    </row>
    <row r="24" spans="1:12" s="119" customFormat="1" ht="16.5" x14ac:dyDescent="0.2">
      <c r="A24" s="114"/>
      <c r="B24" s="115" t="s">
        <v>753</v>
      </c>
      <c r="C24" s="363"/>
      <c r="D24" s="364"/>
      <c r="E24" s="434"/>
      <c r="F24" s="365"/>
      <c r="G24" s="365"/>
      <c r="H24" s="366"/>
      <c r="I24" s="365"/>
      <c r="J24" s="365"/>
      <c r="K24" s="366"/>
      <c r="L24" s="365"/>
    </row>
    <row r="25" spans="1:12" ht="60" customHeight="1" x14ac:dyDescent="0.2">
      <c r="A25" s="653" t="s">
        <v>759</v>
      </c>
      <c r="B25" s="362" t="s">
        <v>754</v>
      </c>
      <c r="C25" s="656">
        <v>100</v>
      </c>
      <c r="D25" s="356" t="s">
        <v>386</v>
      </c>
      <c r="E25" s="436" t="s">
        <v>864</v>
      </c>
      <c r="F25" s="659">
        <v>0</v>
      </c>
      <c r="G25" s="354" t="s">
        <v>386</v>
      </c>
      <c r="H25" s="436" t="s">
        <v>912</v>
      </c>
      <c r="I25" s="659">
        <v>0</v>
      </c>
      <c r="J25" s="356"/>
      <c r="K25" s="355"/>
      <c r="L25" s="659">
        <v>0</v>
      </c>
    </row>
    <row r="26" spans="1:12" ht="96.75" customHeight="1" x14ac:dyDescent="0.2">
      <c r="A26" s="654"/>
      <c r="B26" s="362" t="s">
        <v>755</v>
      </c>
      <c r="C26" s="657"/>
      <c r="D26" s="356" t="s">
        <v>386</v>
      </c>
      <c r="E26" s="430" t="s">
        <v>865</v>
      </c>
      <c r="F26" s="660"/>
      <c r="G26" s="354" t="s">
        <v>386</v>
      </c>
      <c r="H26" s="430" t="s">
        <v>913</v>
      </c>
      <c r="I26" s="660"/>
      <c r="J26" s="356"/>
      <c r="K26" s="355"/>
      <c r="L26" s="660"/>
    </row>
    <row r="27" spans="1:12" ht="299.25" customHeight="1" x14ac:dyDescent="0.2">
      <c r="A27" s="654"/>
      <c r="B27" s="362" t="s">
        <v>756</v>
      </c>
      <c r="C27" s="657"/>
      <c r="D27" s="356" t="s">
        <v>388</v>
      </c>
      <c r="E27" s="438" t="s">
        <v>914</v>
      </c>
      <c r="F27" s="660"/>
      <c r="G27" s="354" t="s">
        <v>388</v>
      </c>
      <c r="H27" s="430" t="s">
        <v>915</v>
      </c>
      <c r="I27" s="660"/>
      <c r="J27" s="356"/>
      <c r="K27" s="355"/>
      <c r="L27" s="660"/>
    </row>
    <row r="28" spans="1:12" ht="111" customHeight="1" x14ac:dyDescent="0.2">
      <c r="A28" s="654"/>
      <c r="B28" s="362" t="s">
        <v>757</v>
      </c>
      <c r="C28" s="657"/>
      <c r="D28" s="356" t="s">
        <v>387</v>
      </c>
      <c r="E28" s="402" t="s">
        <v>387</v>
      </c>
      <c r="F28" s="660"/>
      <c r="G28" s="354" t="s">
        <v>387</v>
      </c>
      <c r="H28" s="402" t="s">
        <v>387</v>
      </c>
      <c r="I28" s="660"/>
      <c r="J28" s="356"/>
      <c r="K28" s="355"/>
      <c r="L28" s="660"/>
    </row>
    <row r="29" spans="1:12" ht="153.75" customHeight="1" x14ac:dyDescent="0.2">
      <c r="A29" s="655"/>
      <c r="B29" s="358" t="s">
        <v>760</v>
      </c>
      <c r="C29" s="658"/>
      <c r="D29" s="356" t="s">
        <v>386</v>
      </c>
      <c r="E29" s="430" t="s">
        <v>868</v>
      </c>
      <c r="F29" s="661"/>
      <c r="G29" s="354" t="s">
        <v>386</v>
      </c>
      <c r="H29" s="430" t="s">
        <v>916</v>
      </c>
      <c r="I29" s="661"/>
      <c r="J29" s="356"/>
      <c r="K29" s="355"/>
      <c r="L29" s="661"/>
    </row>
    <row r="30" spans="1:12" s="119" customFormat="1" ht="16.5" x14ac:dyDescent="0.2">
      <c r="A30" s="114"/>
      <c r="B30" s="115" t="s">
        <v>761</v>
      </c>
      <c r="C30" s="363"/>
      <c r="D30" s="364"/>
      <c r="E30" s="434"/>
      <c r="F30" s="365"/>
      <c r="G30" s="365"/>
      <c r="H30" s="366"/>
      <c r="I30" s="365"/>
      <c r="J30" s="365"/>
      <c r="K30" s="366"/>
      <c r="L30" s="365"/>
    </row>
    <row r="31" spans="1:12" ht="186" customHeight="1" x14ac:dyDescent="0.2">
      <c r="A31" s="653" t="s">
        <v>763</v>
      </c>
      <c r="B31" s="362" t="s">
        <v>762</v>
      </c>
      <c r="C31" s="656">
        <v>100</v>
      </c>
      <c r="D31" s="356" t="s">
        <v>386</v>
      </c>
      <c r="E31" s="439" t="s">
        <v>855</v>
      </c>
      <c r="F31" s="659">
        <v>100</v>
      </c>
      <c r="G31" s="354" t="s">
        <v>386</v>
      </c>
      <c r="H31" s="430" t="s">
        <v>919</v>
      </c>
      <c r="I31" s="659">
        <v>0</v>
      </c>
      <c r="J31" s="356"/>
      <c r="K31" s="355"/>
      <c r="L31" s="659">
        <v>0</v>
      </c>
    </row>
    <row r="32" spans="1:12" ht="369" customHeight="1" x14ac:dyDescent="0.2">
      <c r="A32" s="654"/>
      <c r="B32" s="362" t="s">
        <v>854</v>
      </c>
      <c r="C32" s="657"/>
      <c r="D32" s="356" t="s">
        <v>386</v>
      </c>
      <c r="E32" s="439" t="s">
        <v>936</v>
      </c>
      <c r="F32" s="660"/>
      <c r="G32" s="354" t="s">
        <v>388</v>
      </c>
      <c r="H32" s="430" t="s">
        <v>918</v>
      </c>
      <c r="I32" s="660"/>
      <c r="J32" s="356"/>
      <c r="K32" s="355"/>
      <c r="L32" s="660"/>
    </row>
    <row r="33" spans="1:12" ht="99" customHeight="1" x14ac:dyDescent="0.2">
      <c r="A33" s="654"/>
      <c r="B33" s="362" t="s">
        <v>729</v>
      </c>
      <c r="C33" s="657"/>
      <c r="D33" s="356" t="s">
        <v>387</v>
      </c>
      <c r="E33" s="430" t="s">
        <v>387</v>
      </c>
      <c r="F33" s="660"/>
      <c r="G33" s="354" t="s">
        <v>387</v>
      </c>
      <c r="H33" s="402" t="s">
        <v>387</v>
      </c>
      <c r="I33" s="660"/>
      <c r="J33" s="356"/>
      <c r="K33" s="355"/>
      <c r="L33" s="660"/>
    </row>
    <row r="34" spans="1:12" ht="196.5" customHeight="1" x14ac:dyDescent="0.2">
      <c r="A34" s="655"/>
      <c r="B34" s="358" t="s">
        <v>760</v>
      </c>
      <c r="C34" s="658"/>
      <c r="D34" s="356" t="s">
        <v>386</v>
      </c>
      <c r="E34" s="439" t="s">
        <v>856</v>
      </c>
      <c r="F34" s="661"/>
      <c r="G34" s="354" t="s">
        <v>386</v>
      </c>
      <c r="H34" s="439" t="s">
        <v>917</v>
      </c>
      <c r="I34" s="661"/>
      <c r="J34" s="356"/>
      <c r="K34" s="355"/>
      <c r="L34" s="661"/>
    </row>
    <row r="35" spans="1:12" ht="18" customHeight="1" x14ac:dyDescent="0.2">
      <c r="A35" s="113"/>
      <c r="B35" s="100" t="s">
        <v>824</v>
      </c>
      <c r="C35" s="367">
        <f>SUM(C13:C34)</f>
        <v>400</v>
      </c>
      <c r="D35" s="650">
        <f>SUM(F13:F34)</f>
        <v>100</v>
      </c>
      <c r="E35" s="651"/>
      <c r="F35" s="652"/>
      <c r="G35" s="650">
        <f>SUM(I13:I34)</f>
        <v>0</v>
      </c>
      <c r="H35" s="651"/>
      <c r="I35" s="652"/>
      <c r="J35" s="650">
        <f>SUM(L13:L34)</f>
        <v>0</v>
      </c>
      <c r="K35" s="651"/>
      <c r="L35" s="652"/>
    </row>
    <row r="37" spans="1:12" ht="15.75" x14ac:dyDescent="0.2">
      <c r="B37" s="32" t="s">
        <v>35</v>
      </c>
      <c r="C37" s="37"/>
      <c r="D37" s="32"/>
    </row>
    <row r="38" spans="1:12" ht="15.75" x14ac:dyDescent="0.2">
      <c r="B38" s="39"/>
      <c r="C38" s="37"/>
      <c r="D38" s="32"/>
    </row>
    <row r="39" spans="1:12" ht="15.75" x14ac:dyDescent="0.2">
      <c r="B39" s="39"/>
      <c r="C39" s="37"/>
      <c r="D39" s="32"/>
    </row>
    <row r="40" spans="1:12" ht="15.75" x14ac:dyDescent="0.2">
      <c r="B40" s="39"/>
      <c r="C40" s="37"/>
      <c r="D40" s="32"/>
    </row>
    <row r="41" spans="1:12" ht="15.75" x14ac:dyDescent="0.2">
      <c r="B41" s="41"/>
    </row>
    <row r="42" spans="1:12" s="35" customFormat="1" ht="15.75" x14ac:dyDescent="0.2">
      <c r="A42" s="38"/>
      <c r="B42" s="42" t="s">
        <v>36</v>
      </c>
      <c r="C42" s="39"/>
      <c r="D42" s="40"/>
      <c r="E42" s="40"/>
      <c r="F42" s="39"/>
      <c r="G42" s="40"/>
      <c r="H42" s="39"/>
      <c r="I42" s="40"/>
      <c r="J42" s="39"/>
      <c r="K42" s="40"/>
      <c r="L42" s="39"/>
    </row>
    <row r="43" spans="1:12" s="35" customFormat="1" ht="15.75" x14ac:dyDescent="0.25">
      <c r="A43" s="38"/>
      <c r="B43" s="43" t="s">
        <v>391</v>
      </c>
      <c r="C43" s="39"/>
      <c r="D43" s="40"/>
      <c r="E43" s="40"/>
      <c r="F43" s="39"/>
      <c r="G43" s="40"/>
      <c r="H43" s="39"/>
      <c r="I43" s="40"/>
      <c r="J43" s="39"/>
      <c r="K43" s="40"/>
      <c r="L43" s="39"/>
    </row>
    <row r="44" spans="1:12" s="35" customFormat="1" ht="15.75" x14ac:dyDescent="0.25">
      <c r="A44" s="38"/>
      <c r="B44" s="43"/>
      <c r="C44" s="39"/>
      <c r="D44" s="40"/>
      <c r="E44" s="40"/>
      <c r="F44" s="39"/>
      <c r="G44" s="40"/>
      <c r="H44" s="39"/>
      <c r="I44" s="40"/>
      <c r="J44" s="39"/>
      <c r="K44" s="40"/>
      <c r="L44" s="39"/>
    </row>
    <row r="45" spans="1:12" s="35" customFormat="1" ht="15.75" x14ac:dyDescent="0.25">
      <c r="A45" s="38"/>
      <c r="B45" s="43"/>
      <c r="C45" s="39"/>
      <c r="D45" s="40"/>
      <c r="E45" s="40"/>
      <c r="F45" s="39"/>
      <c r="G45" s="40"/>
      <c r="H45" s="39"/>
      <c r="I45" s="40"/>
      <c r="J45" s="39"/>
      <c r="K45" s="40"/>
      <c r="L45" s="39"/>
    </row>
    <row r="46" spans="1:12" s="35" customFormat="1" ht="15.75" x14ac:dyDescent="0.25">
      <c r="A46" s="38"/>
      <c r="B46" s="43"/>
      <c r="C46" s="39"/>
      <c r="D46" s="40"/>
      <c r="E46" s="40"/>
      <c r="F46" s="39"/>
      <c r="G46" s="40"/>
      <c r="H46" s="39"/>
      <c r="I46" s="40"/>
      <c r="J46" s="39"/>
      <c r="K46" s="40"/>
      <c r="L46" s="39"/>
    </row>
    <row r="47" spans="1:12" ht="15.75" x14ac:dyDescent="0.25">
      <c r="A47" s="101"/>
      <c r="B47" s="43"/>
      <c r="C47" s="61"/>
      <c r="D47" s="102"/>
      <c r="E47" s="39"/>
      <c r="F47" s="39"/>
      <c r="G47" s="39"/>
      <c r="H47" s="39"/>
      <c r="I47" s="39"/>
      <c r="J47" s="39"/>
      <c r="K47" s="39"/>
      <c r="L47" s="39"/>
    </row>
    <row r="48" spans="1:12" ht="15.75" x14ac:dyDescent="0.2">
      <c r="A48" s="71"/>
      <c r="B48" s="42" t="s">
        <v>819</v>
      </c>
      <c r="C48" s="61"/>
      <c r="D48" s="102"/>
      <c r="E48" s="39"/>
      <c r="F48" s="39"/>
      <c r="G48" s="39"/>
      <c r="H48" s="39"/>
      <c r="I48" s="39"/>
      <c r="J48" s="39"/>
      <c r="K48" s="39"/>
      <c r="L48" s="39"/>
    </row>
    <row r="49" spans="1:12" ht="15.75" x14ac:dyDescent="0.25">
      <c r="A49" s="71"/>
      <c r="B49" s="43" t="s">
        <v>391</v>
      </c>
      <c r="C49" s="61"/>
      <c r="D49" s="102"/>
      <c r="E49" s="39"/>
      <c r="F49" s="39"/>
      <c r="G49" s="39"/>
      <c r="H49" s="39"/>
      <c r="I49" s="39"/>
      <c r="J49" s="39"/>
      <c r="K49" s="39"/>
      <c r="L49" s="39"/>
    </row>
    <row r="50" spans="1:12" ht="15.75" x14ac:dyDescent="0.2">
      <c r="A50" s="71"/>
      <c r="B50" s="39"/>
      <c r="C50" s="61"/>
      <c r="D50" s="102"/>
      <c r="E50" s="39"/>
      <c r="F50" s="39"/>
      <c r="G50" s="39"/>
      <c r="H50" s="39"/>
      <c r="I50" s="39"/>
      <c r="J50" s="39"/>
      <c r="K50" s="39"/>
      <c r="L50" s="39"/>
    </row>
    <row r="51" spans="1:12" s="35" customFormat="1" x14ac:dyDescent="0.2">
      <c r="A51" s="38"/>
      <c r="B51" s="39"/>
      <c r="C51" s="39"/>
      <c r="D51" s="40"/>
      <c r="E51" s="40"/>
      <c r="F51" s="39"/>
      <c r="G51" s="40"/>
      <c r="H51" s="39"/>
      <c r="I51" s="40"/>
      <c r="J51" s="39"/>
      <c r="K51" s="40"/>
      <c r="L51" s="39"/>
    </row>
    <row r="52" spans="1:12" s="35" customFormat="1" x14ac:dyDescent="0.2">
      <c r="A52" s="38"/>
      <c r="B52" s="39"/>
      <c r="C52" s="39"/>
      <c r="D52" s="40"/>
      <c r="E52" s="40"/>
      <c r="F52" s="39"/>
      <c r="G52" s="40"/>
      <c r="H52" s="39"/>
      <c r="I52" s="40"/>
      <c r="J52" s="39"/>
      <c r="K52" s="40"/>
      <c r="L52" s="39"/>
    </row>
    <row r="53" spans="1:12" ht="15.75" x14ac:dyDescent="0.25">
      <c r="A53" s="103"/>
      <c r="B53" s="39"/>
      <c r="C53" s="108"/>
      <c r="D53" s="43"/>
      <c r="E53" s="39"/>
      <c r="F53" s="39"/>
      <c r="G53" s="39"/>
      <c r="H53" s="39"/>
      <c r="I53" s="39"/>
      <c r="J53" s="39"/>
      <c r="K53" s="39"/>
      <c r="L53" s="39"/>
    </row>
    <row r="54" spans="1:12" ht="15.75" x14ac:dyDescent="0.25">
      <c r="B54" s="42" t="s">
        <v>392</v>
      </c>
      <c r="C54" s="109"/>
      <c r="D54" s="35"/>
      <c r="E54" s="43"/>
      <c r="F54" s="43"/>
      <c r="G54" s="43"/>
      <c r="H54" s="43"/>
      <c r="I54" s="43"/>
      <c r="J54" s="43"/>
      <c r="K54" s="43"/>
      <c r="L54" s="43"/>
    </row>
    <row r="55" spans="1:12" ht="15.75" x14ac:dyDescent="0.25">
      <c r="B55" s="43" t="s">
        <v>391</v>
      </c>
      <c r="C55" s="107"/>
      <c r="D55" s="42"/>
    </row>
    <row r="56" spans="1:12" ht="15.75" x14ac:dyDescent="0.25">
      <c r="B56" s="43"/>
      <c r="C56" s="108"/>
      <c r="D56" s="43"/>
    </row>
    <row r="57" spans="1:12" ht="15.75" x14ac:dyDescent="0.25">
      <c r="B57" s="43"/>
      <c r="C57" s="108"/>
      <c r="D57" s="43"/>
    </row>
    <row r="58" spans="1:12" ht="15.75" x14ac:dyDescent="0.25">
      <c r="B58" s="43"/>
    </row>
    <row r="59" spans="1:12" ht="15.75" x14ac:dyDescent="0.25">
      <c r="B59" s="43"/>
    </row>
    <row r="60" spans="1:12" ht="15.75" x14ac:dyDescent="0.2">
      <c r="B60" s="42" t="s">
        <v>37</v>
      </c>
    </row>
    <row r="61" spans="1:12" ht="15.75" x14ac:dyDescent="0.25">
      <c r="B61" s="43" t="s">
        <v>38</v>
      </c>
    </row>
    <row r="62" spans="1:12" ht="15.75" x14ac:dyDescent="0.25">
      <c r="B62" s="43" t="s">
        <v>39</v>
      </c>
    </row>
  </sheetData>
  <mergeCells count="39">
    <mergeCell ref="L13:L17"/>
    <mergeCell ref="L19:L23"/>
    <mergeCell ref="L25:L29"/>
    <mergeCell ref="L31:L34"/>
    <mergeCell ref="C10:C11"/>
    <mergeCell ref="D10:F10"/>
    <mergeCell ref="G10:I10"/>
    <mergeCell ref="C25:C29"/>
    <mergeCell ref="I13:I17"/>
    <mergeCell ref="I19:I23"/>
    <mergeCell ref="I25:I29"/>
    <mergeCell ref="I31:I34"/>
    <mergeCell ref="A31:A34"/>
    <mergeCell ref="C31:C34"/>
    <mergeCell ref="F25:F29"/>
    <mergeCell ref="F31:F34"/>
    <mergeCell ref="A25:A29"/>
    <mergeCell ref="A7:C7"/>
    <mergeCell ref="J10:L10"/>
    <mergeCell ref="D35:F35"/>
    <mergeCell ref="G35:I35"/>
    <mergeCell ref="J35:L35"/>
    <mergeCell ref="A19:A23"/>
    <mergeCell ref="A13:A17"/>
    <mergeCell ref="C13:C17"/>
    <mergeCell ref="C19:C23"/>
    <mergeCell ref="F19:F23"/>
    <mergeCell ref="F13:F17"/>
    <mergeCell ref="D9:F9"/>
    <mergeCell ref="G9:I9"/>
    <mergeCell ref="J9:L9"/>
    <mergeCell ref="A10:A11"/>
    <mergeCell ref="B10:B11"/>
    <mergeCell ref="A5:C5"/>
    <mergeCell ref="A6:C6"/>
    <mergeCell ref="A1:C1"/>
    <mergeCell ref="A2:C2"/>
    <mergeCell ref="A3:C3"/>
    <mergeCell ref="A4:C4"/>
  </mergeCells>
  <conditionalFormatting sqref="F13">
    <cfRule type="cellIs" dxfId="119" priority="83" operator="equal">
      <formula>"NO"</formula>
    </cfRule>
  </conditionalFormatting>
  <conditionalFormatting sqref="D12">
    <cfRule type="cellIs" dxfId="118" priority="82" operator="equal">
      <formula>"NO"</formula>
    </cfRule>
  </conditionalFormatting>
  <conditionalFormatting sqref="D13:D17">
    <cfRule type="cellIs" dxfId="117" priority="81" operator="equal">
      <formula>"NO"</formula>
    </cfRule>
  </conditionalFormatting>
  <conditionalFormatting sqref="F19 F25 F31">
    <cfRule type="cellIs" dxfId="116" priority="73" operator="equal">
      <formula>"NO"</formula>
    </cfRule>
  </conditionalFormatting>
  <conditionalFormatting sqref="D19:D23 D25:D29 D31:D34">
    <cfRule type="cellIs" dxfId="115" priority="72" operator="equal">
      <formula>"NO"</formula>
    </cfRule>
  </conditionalFormatting>
  <conditionalFormatting sqref="D18">
    <cfRule type="cellIs" dxfId="114" priority="69" operator="equal">
      <formula>"NO"</formula>
    </cfRule>
  </conditionalFormatting>
  <conditionalFormatting sqref="G13:G17">
    <cfRule type="cellIs" dxfId="113" priority="64" operator="equal">
      <formula>"NO"</formula>
    </cfRule>
  </conditionalFormatting>
  <conditionalFormatting sqref="G19:G23 G25:G29 G31:G34">
    <cfRule type="cellIs" dxfId="112" priority="60" operator="equal">
      <formula>"NO"</formula>
    </cfRule>
  </conditionalFormatting>
  <conditionalFormatting sqref="E13:E16">
    <cfRule type="cellIs" dxfId="111" priority="41" operator="equal">
      <formula>"NO"</formula>
    </cfRule>
  </conditionalFormatting>
  <conditionalFormatting sqref="E20 E31:E34 E22 E26 E28">
    <cfRule type="cellIs" dxfId="110" priority="40" operator="equal">
      <formula>"NO"</formula>
    </cfRule>
  </conditionalFormatting>
  <conditionalFormatting sqref="H16">
    <cfRule type="cellIs" dxfId="109" priority="39" operator="equal">
      <formula>"NO"</formula>
    </cfRule>
  </conditionalFormatting>
  <conditionalFormatting sqref="H22 H28 H33">
    <cfRule type="cellIs" dxfId="108" priority="38" operator="equal">
      <formula>"NO"</formula>
    </cfRule>
  </conditionalFormatting>
  <conditionalFormatting sqref="K13:K17">
    <cfRule type="cellIs" dxfId="107" priority="37" operator="equal">
      <formula>"NO"</formula>
    </cfRule>
  </conditionalFormatting>
  <conditionalFormatting sqref="K19:K23 K25:K29 K31:K34">
    <cfRule type="cellIs" dxfId="106" priority="36" operator="equal">
      <formula>"NO"</formula>
    </cfRule>
  </conditionalFormatting>
  <conditionalFormatting sqref="J19:J23 J25:J29 J31:J34">
    <cfRule type="cellIs" dxfId="105" priority="35" operator="equal">
      <formula>"NO"</formula>
    </cfRule>
  </conditionalFormatting>
  <conditionalFormatting sqref="J13:J17">
    <cfRule type="cellIs" dxfId="104" priority="34" operator="equal">
      <formula>"NO"</formula>
    </cfRule>
  </conditionalFormatting>
  <conditionalFormatting sqref="D24">
    <cfRule type="cellIs" dxfId="103" priority="32" operator="equal">
      <formula>"NO"</formula>
    </cfRule>
  </conditionalFormatting>
  <conditionalFormatting sqref="D30">
    <cfRule type="cellIs" dxfId="102" priority="31" operator="equal">
      <formula>"NO"</formula>
    </cfRule>
  </conditionalFormatting>
  <conditionalFormatting sqref="L19 L25 L31">
    <cfRule type="cellIs" dxfId="101" priority="27" operator="equal">
      <formula>"NO"</formula>
    </cfRule>
  </conditionalFormatting>
  <conditionalFormatting sqref="I13">
    <cfRule type="cellIs" dxfId="100" priority="30" operator="equal">
      <formula>"NO"</formula>
    </cfRule>
  </conditionalFormatting>
  <conditionalFormatting sqref="I19 I25 I31">
    <cfRule type="cellIs" dxfId="99" priority="29" operator="equal">
      <formula>"NO"</formula>
    </cfRule>
  </conditionalFormatting>
  <conditionalFormatting sqref="L13">
    <cfRule type="cellIs" dxfId="98" priority="28" operator="equal">
      <formula>"NO"</formula>
    </cfRule>
  </conditionalFormatting>
  <conditionalFormatting sqref="E17">
    <cfRule type="cellIs" dxfId="97" priority="26" operator="equal">
      <formula>"NO"</formula>
    </cfRule>
  </conditionalFormatting>
  <conditionalFormatting sqref="E19">
    <cfRule type="cellIs" dxfId="96" priority="24" operator="equal">
      <formula>"NO"</formula>
    </cfRule>
  </conditionalFormatting>
  <conditionalFormatting sqref="E21">
    <cfRule type="cellIs" dxfId="95" priority="23" operator="equal">
      <formula>"NO"</formula>
    </cfRule>
  </conditionalFormatting>
  <conditionalFormatting sqref="E23">
    <cfRule type="cellIs" dxfId="94" priority="22" operator="equal">
      <formula>"NO"</formula>
    </cfRule>
  </conditionalFormatting>
  <conditionalFormatting sqref="E25">
    <cfRule type="cellIs" dxfId="93" priority="21" operator="equal">
      <formula>"NO"</formula>
    </cfRule>
  </conditionalFormatting>
  <conditionalFormatting sqref="E27">
    <cfRule type="cellIs" dxfId="92" priority="20" operator="equal">
      <formula>"NO"</formula>
    </cfRule>
  </conditionalFormatting>
  <conditionalFormatting sqref="E29">
    <cfRule type="cellIs" dxfId="91" priority="19" operator="equal">
      <formula>"NO"</formula>
    </cfRule>
  </conditionalFormatting>
  <conditionalFormatting sqref="H13:H14">
    <cfRule type="cellIs" dxfId="90" priority="18" operator="equal">
      <formula>"NO"</formula>
    </cfRule>
  </conditionalFormatting>
  <conditionalFormatting sqref="H15">
    <cfRule type="cellIs" dxfId="89" priority="16" operator="equal">
      <formula>"NO"</formula>
    </cfRule>
  </conditionalFormatting>
  <conditionalFormatting sqref="H17">
    <cfRule type="cellIs" dxfId="88" priority="14" operator="equal">
      <formula>"NO"</formula>
    </cfRule>
  </conditionalFormatting>
  <conditionalFormatting sqref="H20">
    <cfRule type="cellIs" dxfId="87" priority="13" operator="equal">
      <formula>"NO"</formula>
    </cfRule>
  </conditionalFormatting>
  <conditionalFormatting sqref="H19">
    <cfRule type="cellIs" dxfId="86" priority="12" operator="equal">
      <formula>"NO"</formula>
    </cfRule>
  </conditionalFormatting>
  <conditionalFormatting sqref="H21">
    <cfRule type="cellIs" dxfId="85" priority="11" operator="equal">
      <formula>"NO"</formula>
    </cfRule>
  </conditionalFormatting>
  <conditionalFormatting sqref="H23">
    <cfRule type="cellIs" dxfId="84" priority="10" operator="equal">
      <formula>"NO"</formula>
    </cfRule>
  </conditionalFormatting>
  <conditionalFormatting sqref="H26">
    <cfRule type="cellIs" dxfId="83" priority="9" operator="equal">
      <formula>"NO"</formula>
    </cfRule>
  </conditionalFormatting>
  <conditionalFormatting sqref="H25">
    <cfRule type="cellIs" dxfId="82" priority="8" operator="equal">
      <formula>"NO"</formula>
    </cfRule>
  </conditionalFormatting>
  <conditionalFormatting sqref="H27">
    <cfRule type="cellIs" dxfId="81" priority="6" operator="equal">
      <formula>"NO"</formula>
    </cfRule>
  </conditionalFormatting>
  <conditionalFormatting sqref="H29">
    <cfRule type="cellIs" dxfId="80" priority="5" operator="equal">
      <formula>"NO"</formula>
    </cfRule>
  </conditionalFormatting>
  <conditionalFormatting sqref="H32">
    <cfRule type="cellIs" dxfId="79" priority="4" operator="equal">
      <formula>"NO"</formula>
    </cfRule>
  </conditionalFormatting>
  <conditionalFormatting sqref="H34">
    <cfRule type="cellIs" dxfId="78" priority="2" operator="equal">
      <formula>"NO"</formula>
    </cfRule>
  </conditionalFormatting>
  <conditionalFormatting sqref="H31">
    <cfRule type="cellIs" dxfId="77" priority="1" operator="equal">
      <formula>"NO"</formula>
    </cfRule>
  </conditionalFormatting>
  <pageMargins left="0.47244094488188981" right="0.47244094488188981" top="0.59055118110236227" bottom="0.59055118110236227" header="0.31496062992125984" footer="0.31496062992125984"/>
  <pageSetup scale="27"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93"/>
  <sheetViews>
    <sheetView topLeftCell="A155" zoomScale="80" zoomScaleNormal="80" workbookViewId="0">
      <selection activeCell="I174" sqref="I174"/>
    </sheetView>
  </sheetViews>
  <sheetFormatPr baseColWidth="10" defaultColWidth="15" defaultRowHeight="12.75" x14ac:dyDescent="0.25"/>
  <cols>
    <col min="1" max="2" width="7.5703125" style="196" customWidth="1"/>
    <col min="3" max="3" width="60.85546875" style="196" customWidth="1"/>
    <col min="4" max="4" width="8.7109375" style="196" customWidth="1"/>
    <col min="5" max="5" width="12.28515625" style="196" bestFit="1" customWidth="1"/>
    <col min="6" max="6" width="15.140625" style="196" customWidth="1"/>
    <col min="7" max="7" width="19.42578125" style="196" customWidth="1"/>
    <col min="8" max="8" width="15.140625" style="196" bestFit="1" customWidth="1"/>
    <col min="9" max="9" width="18.85546875" style="196" bestFit="1" customWidth="1"/>
    <col min="10" max="10" width="16.85546875" style="196" customWidth="1"/>
    <col min="11" max="11" width="15.140625" style="196" bestFit="1" customWidth="1"/>
    <col min="12" max="12" width="18.85546875" style="196" bestFit="1" customWidth="1"/>
    <col min="13" max="13" width="16.85546875" style="196" customWidth="1"/>
    <col min="14" max="16384" width="15" style="196"/>
  </cols>
  <sheetData>
    <row r="1" spans="1:13" x14ac:dyDescent="0.25">
      <c r="A1" s="676" t="s">
        <v>14</v>
      </c>
      <c r="B1" s="676"/>
      <c r="C1" s="676"/>
      <c r="D1" s="676"/>
      <c r="E1" s="676"/>
      <c r="F1" s="676"/>
      <c r="G1" s="676"/>
    </row>
    <row r="2" spans="1:13" x14ac:dyDescent="0.25">
      <c r="A2" s="676" t="s">
        <v>43</v>
      </c>
      <c r="B2" s="676"/>
      <c r="C2" s="676"/>
      <c r="D2" s="676"/>
      <c r="E2" s="676"/>
      <c r="F2" s="676"/>
      <c r="G2" s="676"/>
    </row>
    <row r="3" spans="1:13" ht="18" customHeight="1" x14ac:dyDescent="0.25">
      <c r="A3" s="677" t="str">
        <f>+'VERIFICACIÓN TÉCNICA'!A7:B7</f>
        <v xml:space="preserve">OBJETO: CONSTRUCCIÓN DE OBRAS PARA EL MEJORAMIENTO DE LAS CONDICIONES DEL CENTRO DEPORTIVO UNIVERSITARIO TULCÁN DE LA UNIVERSIDAD DEL CAUCA EN EL MUNICIPIO DE POPAYÁN, DEPARTAMENTO DEL CAUCA. </v>
      </c>
      <c r="B3" s="677"/>
      <c r="C3" s="677"/>
      <c r="D3" s="677"/>
      <c r="E3" s="677"/>
      <c r="F3" s="677"/>
      <c r="G3" s="677"/>
      <c r="H3" s="678" t="s">
        <v>380</v>
      </c>
      <c r="I3" s="679"/>
      <c r="J3" s="680"/>
      <c r="K3" s="678" t="s">
        <v>381</v>
      </c>
      <c r="L3" s="679"/>
      <c r="M3" s="680"/>
    </row>
    <row r="4" spans="1:13" ht="59.25" customHeight="1" x14ac:dyDescent="0.25">
      <c r="A4" s="677"/>
      <c r="B4" s="677"/>
      <c r="C4" s="677"/>
      <c r="D4" s="677"/>
      <c r="E4" s="677"/>
      <c r="F4" s="677"/>
      <c r="G4" s="677"/>
      <c r="H4" s="681"/>
      <c r="I4" s="682"/>
      <c r="J4" s="683"/>
      <c r="K4" s="681"/>
      <c r="L4" s="682"/>
      <c r="M4" s="683"/>
    </row>
    <row r="5" spans="1:13" x14ac:dyDescent="0.25">
      <c r="A5" s="677"/>
      <c r="B5" s="677"/>
      <c r="C5" s="677"/>
      <c r="D5" s="677"/>
      <c r="E5" s="677"/>
      <c r="F5" s="677"/>
      <c r="G5" s="677"/>
      <c r="H5" s="676">
        <v>1</v>
      </c>
      <c r="I5" s="676"/>
      <c r="J5" s="676"/>
      <c r="K5" s="676">
        <v>2</v>
      </c>
      <c r="L5" s="676"/>
      <c r="M5" s="676"/>
    </row>
    <row r="6" spans="1:13" ht="15" customHeight="1" x14ac:dyDescent="0.25">
      <c r="A6" s="684" t="s">
        <v>44</v>
      </c>
      <c r="B6" s="684"/>
      <c r="C6" s="684"/>
      <c r="D6" s="684"/>
      <c r="E6" s="684"/>
      <c r="F6" s="684"/>
      <c r="G6" s="684"/>
      <c r="H6" s="685" t="s">
        <v>8</v>
      </c>
      <c r="I6" s="685" t="s">
        <v>9</v>
      </c>
      <c r="J6" s="200" t="s">
        <v>45</v>
      </c>
      <c r="K6" s="685" t="s">
        <v>8</v>
      </c>
      <c r="L6" s="685" t="s">
        <v>9</v>
      </c>
      <c r="M6" s="200" t="s">
        <v>45</v>
      </c>
    </row>
    <row r="7" spans="1:13" x14ac:dyDescent="0.25">
      <c r="A7" s="201" t="s">
        <v>0</v>
      </c>
      <c r="B7" s="201" t="s">
        <v>393</v>
      </c>
      <c r="C7" s="201" t="s">
        <v>10</v>
      </c>
      <c r="D7" s="201" t="s">
        <v>2</v>
      </c>
      <c r="E7" s="201" t="s">
        <v>1</v>
      </c>
      <c r="F7" s="201" t="s">
        <v>8</v>
      </c>
      <c r="G7" s="201" t="s">
        <v>9</v>
      </c>
      <c r="H7" s="686"/>
      <c r="I7" s="686"/>
      <c r="J7" s="202" t="s">
        <v>46</v>
      </c>
      <c r="K7" s="686"/>
      <c r="L7" s="686"/>
      <c r="M7" s="202" t="s">
        <v>46</v>
      </c>
    </row>
    <row r="8" spans="1:13" s="204" customFormat="1" x14ac:dyDescent="0.25">
      <c r="A8" s="201"/>
      <c r="B8" s="201"/>
      <c r="C8" s="203"/>
      <c r="D8" s="201"/>
      <c r="E8" s="201"/>
      <c r="F8" s="201"/>
      <c r="G8" s="201"/>
      <c r="H8" s="201"/>
      <c r="I8" s="201"/>
      <c r="J8" s="201"/>
      <c r="K8" s="201"/>
      <c r="L8" s="201"/>
      <c r="M8" s="201"/>
    </row>
    <row r="9" spans="1:13" ht="15" x14ac:dyDescent="0.25">
      <c r="A9" s="205" t="s">
        <v>394</v>
      </c>
      <c r="B9" s="205"/>
      <c r="C9" s="206" t="s">
        <v>395</v>
      </c>
      <c r="D9" s="207"/>
      <c r="E9" s="207"/>
      <c r="F9" s="207"/>
      <c r="G9" s="208"/>
      <c r="H9" s="152"/>
      <c r="I9" s="152">
        <f>ROUND($E9*H9,0)</f>
        <v>0</v>
      </c>
      <c r="J9" s="148" t="str">
        <f t="shared" ref="J9:J72" si="0">+IF(H9&lt;=$F9,"OK","NO OK")</f>
        <v>OK</v>
      </c>
      <c r="K9" s="209"/>
      <c r="L9" s="209">
        <f>ROUND($E9*K9,0)</f>
        <v>0</v>
      </c>
      <c r="M9" s="148" t="str">
        <f t="shared" ref="M9:M72" si="1">+IF(K9&lt;=$F9,"OK","NO OK")</f>
        <v>OK</v>
      </c>
    </row>
    <row r="10" spans="1:13" ht="15" x14ac:dyDescent="0.25">
      <c r="A10" s="210" t="s">
        <v>396</v>
      </c>
      <c r="B10" s="210">
        <v>1.01</v>
      </c>
      <c r="C10" s="211" t="s">
        <v>397</v>
      </c>
      <c r="D10" s="210" t="s">
        <v>7</v>
      </c>
      <c r="E10" s="321">
        <v>371</v>
      </c>
      <c r="F10" s="213">
        <v>4245</v>
      </c>
      <c r="G10" s="213">
        <f>+ROUND(F10*E10,0)</f>
        <v>1574895</v>
      </c>
      <c r="H10" s="213">
        <v>4245</v>
      </c>
      <c r="I10" s="152">
        <f>ROUND($E10*H10,0)</f>
        <v>1574895</v>
      </c>
      <c r="J10" s="148" t="str">
        <f t="shared" si="0"/>
        <v>OK</v>
      </c>
      <c r="K10" s="213">
        <v>4245</v>
      </c>
      <c r="L10" s="152">
        <f t="shared" ref="L10:L71" si="2">ROUND($E10*K10,0)</f>
        <v>1574895</v>
      </c>
      <c r="M10" s="148" t="str">
        <f t="shared" si="1"/>
        <v>OK</v>
      </c>
    </row>
    <row r="11" spans="1:13" ht="15" x14ac:dyDescent="0.25">
      <c r="A11" s="210" t="s">
        <v>398</v>
      </c>
      <c r="B11" s="210">
        <v>1.2</v>
      </c>
      <c r="C11" s="211" t="s">
        <v>399</v>
      </c>
      <c r="D11" s="210" t="s">
        <v>7</v>
      </c>
      <c r="E11" s="321">
        <v>371</v>
      </c>
      <c r="F11" s="214">
        <v>6552</v>
      </c>
      <c r="G11" s="213">
        <f t="shared" ref="G11:G12" si="3">+ROUND(F11*E11,0)</f>
        <v>2430792</v>
      </c>
      <c r="H11" s="214">
        <v>6552</v>
      </c>
      <c r="I11" s="152">
        <f t="shared" ref="I11:I73" si="4">ROUND($E11*H11,0)</f>
        <v>2430792</v>
      </c>
      <c r="J11" s="148" t="str">
        <f t="shared" si="0"/>
        <v>OK</v>
      </c>
      <c r="K11" s="214">
        <v>6552</v>
      </c>
      <c r="L11" s="152">
        <f t="shared" si="2"/>
        <v>2430792</v>
      </c>
      <c r="M11" s="148" t="str">
        <f t="shared" si="1"/>
        <v>OK</v>
      </c>
    </row>
    <row r="12" spans="1:13" ht="15" x14ac:dyDescent="0.25">
      <c r="A12" s="210" t="s">
        <v>400</v>
      </c>
      <c r="B12" s="210"/>
      <c r="C12" s="211" t="s">
        <v>401</v>
      </c>
      <c r="D12" s="210" t="s">
        <v>11</v>
      </c>
      <c r="E12" s="321">
        <v>242</v>
      </c>
      <c r="F12" s="213">
        <v>11550</v>
      </c>
      <c r="G12" s="213">
        <f t="shared" si="3"/>
        <v>2795100</v>
      </c>
      <c r="H12" s="213">
        <v>11550</v>
      </c>
      <c r="I12" s="152">
        <f t="shared" si="4"/>
        <v>2795100</v>
      </c>
      <c r="J12" s="148" t="str">
        <f t="shared" si="0"/>
        <v>OK</v>
      </c>
      <c r="K12" s="213">
        <v>11550</v>
      </c>
      <c r="L12" s="152">
        <f t="shared" si="2"/>
        <v>2795100</v>
      </c>
      <c r="M12" s="148" t="str">
        <f t="shared" si="1"/>
        <v>OK</v>
      </c>
    </row>
    <row r="13" spans="1:13" ht="15" x14ac:dyDescent="0.25">
      <c r="A13" s="210"/>
      <c r="B13" s="210"/>
      <c r="C13" s="215" t="s">
        <v>402</v>
      </c>
      <c r="D13" s="216"/>
      <c r="E13" s="322"/>
      <c r="F13" s="218"/>
      <c r="G13" s="218">
        <f>SUM(G10:G12)</f>
        <v>6800787</v>
      </c>
      <c r="H13" s="218"/>
      <c r="I13" s="218">
        <f>SUM(I10:I12)</f>
        <v>6800787</v>
      </c>
      <c r="J13" s="148" t="str">
        <f t="shared" si="0"/>
        <v>OK</v>
      </c>
      <c r="K13" s="218"/>
      <c r="L13" s="218">
        <f>SUM(L10:L12)</f>
        <v>6800787</v>
      </c>
      <c r="M13" s="148" t="str">
        <f t="shared" si="1"/>
        <v>OK</v>
      </c>
    </row>
    <row r="14" spans="1:13" ht="15" x14ac:dyDescent="0.25">
      <c r="A14" s="205" t="s">
        <v>403</v>
      </c>
      <c r="B14" s="205"/>
      <c r="C14" s="206" t="s">
        <v>404</v>
      </c>
      <c r="D14" s="207"/>
      <c r="E14" s="323"/>
      <c r="F14" s="207"/>
      <c r="G14" s="208"/>
      <c r="H14" s="207"/>
      <c r="I14" s="152">
        <f t="shared" si="4"/>
        <v>0</v>
      </c>
      <c r="J14" s="148" t="str">
        <f t="shared" si="0"/>
        <v>OK</v>
      </c>
      <c r="K14" s="207"/>
      <c r="L14" s="152">
        <f t="shared" si="2"/>
        <v>0</v>
      </c>
      <c r="M14" s="148" t="str">
        <f t="shared" si="1"/>
        <v>OK</v>
      </c>
    </row>
    <row r="15" spans="1:13" ht="15" x14ac:dyDescent="0.25">
      <c r="A15" s="210" t="s">
        <v>405</v>
      </c>
      <c r="B15" s="210" t="s">
        <v>406</v>
      </c>
      <c r="C15" s="211" t="s">
        <v>407</v>
      </c>
      <c r="D15" s="210" t="s">
        <v>11</v>
      </c>
      <c r="E15" s="321">
        <v>29</v>
      </c>
      <c r="F15" s="213">
        <v>11435</v>
      </c>
      <c r="G15" s="213">
        <f>+ROUND(F15*E15,0)</f>
        <v>331615</v>
      </c>
      <c r="H15" s="213">
        <v>11435</v>
      </c>
      <c r="I15" s="152">
        <f t="shared" si="4"/>
        <v>331615</v>
      </c>
      <c r="J15" s="148" t="str">
        <f t="shared" si="0"/>
        <v>OK</v>
      </c>
      <c r="K15" s="213">
        <v>11435</v>
      </c>
      <c r="L15" s="152">
        <f t="shared" si="2"/>
        <v>331615</v>
      </c>
      <c r="M15" s="148" t="str">
        <f t="shared" si="1"/>
        <v>OK</v>
      </c>
    </row>
    <row r="16" spans="1:13" ht="15" x14ac:dyDescent="0.25">
      <c r="A16" s="210" t="s">
        <v>408</v>
      </c>
      <c r="B16" s="210"/>
      <c r="C16" s="211" t="s">
        <v>409</v>
      </c>
      <c r="D16" s="210" t="s">
        <v>7</v>
      </c>
      <c r="E16" s="321">
        <v>133</v>
      </c>
      <c r="F16" s="213">
        <v>22265</v>
      </c>
      <c r="G16" s="213">
        <f t="shared" ref="G16:G20" si="5">+ROUND(F16*E16,0)</f>
        <v>2961245</v>
      </c>
      <c r="H16" s="213">
        <v>22265</v>
      </c>
      <c r="I16" s="152">
        <f t="shared" si="4"/>
        <v>2961245</v>
      </c>
      <c r="J16" s="148" t="str">
        <f t="shared" si="0"/>
        <v>OK</v>
      </c>
      <c r="K16" s="213">
        <v>22265</v>
      </c>
      <c r="L16" s="152">
        <f t="shared" si="2"/>
        <v>2961245</v>
      </c>
      <c r="M16" s="148" t="str">
        <f t="shared" si="1"/>
        <v>OK</v>
      </c>
    </row>
    <row r="17" spans="1:13" ht="36" x14ac:dyDescent="0.25">
      <c r="A17" s="210" t="s">
        <v>410</v>
      </c>
      <c r="B17" s="210">
        <v>3.14</v>
      </c>
      <c r="C17" s="211" t="s">
        <v>411</v>
      </c>
      <c r="D17" s="210" t="s">
        <v>88</v>
      </c>
      <c r="E17" s="321">
        <v>189</v>
      </c>
      <c r="F17" s="214">
        <v>144227</v>
      </c>
      <c r="G17" s="214">
        <f t="shared" si="5"/>
        <v>27258903</v>
      </c>
      <c r="H17" s="214">
        <v>144227</v>
      </c>
      <c r="I17" s="152">
        <f t="shared" si="4"/>
        <v>27258903</v>
      </c>
      <c r="J17" s="148" t="str">
        <f t="shared" si="0"/>
        <v>OK</v>
      </c>
      <c r="K17" s="214">
        <v>144227</v>
      </c>
      <c r="L17" s="152">
        <f t="shared" si="2"/>
        <v>27258903</v>
      </c>
      <c r="M17" s="148" t="str">
        <f t="shared" si="1"/>
        <v>OK</v>
      </c>
    </row>
    <row r="18" spans="1:13" ht="24" x14ac:dyDescent="0.25">
      <c r="A18" s="210" t="s">
        <v>412</v>
      </c>
      <c r="B18" s="210" t="s">
        <v>413</v>
      </c>
      <c r="C18" s="211" t="s">
        <v>414</v>
      </c>
      <c r="D18" s="210" t="s">
        <v>2</v>
      </c>
      <c r="E18" s="321">
        <v>36</v>
      </c>
      <c r="F18" s="214">
        <v>53709</v>
      </c>
      <c r="G18" s="214">
        <f>+ROUND(F18*E18,0)</f>
        <v>1933524</v>
      </c>
      <c r="H18" s="214">
        <v>53709</v>
      </c>
      <c r="I18" s="152">
        <f t="shared" si="4"/>
        <v>1933524</v>
      </c>
      <c r="J18" s="148" t="str">
        <f t="shared" si="0"/>
        <v>OK</v>
      </c>
      <c r="K18" s="214">
        <v>53709</v>
      </c>
      <c r="L18" s="152">
        <f t="shared" si="2"/>
        <v>1933524</v>
      </c>
      <c r="M18" s="148" t="str">
        <f t="shared" si="1"/>
        <v>OK</v>
      </c>
    </row>
    <row r="19" spans="1:13" ht="15" x14ac:dyDescent="0.25">
      <c r="A19" s="210" t="s">
        <v>415</v>
      </c>
      <c r="B19" s="210">
        <v>3.4</v>
      </c>
      <c r="C19" s="211" t="s">
        <v>416</v>
      </c>
      <c r="D19" s="210" t="s">
        <v>417</v>
      </c>
      <c r="E19" s="321">
        <v>2233</v>
      </c>
      <c r="F19" s="213">
        <v>5750</v>
      </c>
      <c r="G19" s="213">
        <f t="shared" si="5"/>
        <v>12839750</v>
      </c>
      <c r="H19" s="213">
        <v>5750</v>
      </c>
      <c r="I19" s="152">
        <f t="shared" si="4"/>
        <v>12839750</v>
      </c>
      <c r="J19" s="148" t="str">
        <f t="shared" si="0"/>
        <v>OK</v>
      </c>
      <c r="K19" s="213">
        <v>5750</v>
      </c>
      <c r="L19" s="152">
        <f t="shared" si="2"/>
        <v>12839750</v>
      </c>
      <c r="M19" s="148" t="str">
        <f t="shared" si="1"/>
        <v>OK</v>
      </c>
    </row>
    <row r="20" spans="1:13" ht="15" x14ac:dyDescent="0.25">
      <c r="A20" s="210" t="s">
        <v>418</v>
      </c>
      <c r="B20" s="210" t="s">
        <v>419</v>
      </c>
      <c r="C20" s="211" t="s">
        <v>420</v>
      </c>
      <c r="D20" s="210" t="s">
        <v>2</v>
      </c>
      <c r="E20" s="321">
        <v>36</v>
      </c>
      <c r="F20" s="213">
        <v>10395</v>
      </c>
      <c r="G20" s="213">
        <f t="shared" si="5"/>
        <v>374220</v>
      </c>
      <c r="H20" s="213">
        <v>10395</v>
      </c>
      <c r="I20" s="152">
        <f t="shared" si="4"/>
        <v>374220</v>
      </c>
      <c r="J20" s="148" t="str">
        <f t="shared" si="0"/>
        <v>OK</v>
      </c>
      <c r="K20" s="213">
        <v>10395</v>
      </c>
      <c r="L20" s="152">
        <f t="shared" si="2"/>
        <v>374220</v>
      </c>
      <c r="M20" s="148" t="str">
        <f t="shared" si="1"/>
        <v>OK</v>
      </c>
    </row>
    <row r="21" spans="1:13" ht="15" x14ac:dyDescent="0.25">
      <c r="A21" s="216"/>
      <c r="B21" s="216"/>
      <c r="C21" s="215" t="s">
        <v>421</v>
      </c>
      <c r="D21" s="216"/>
      <c r="E21" s="322"/>
      <c r="F21" s="218"/>
      <c r="G21" s="218">
        <f>SUM(G15:G20)</f>
        <v>45699257</v>
      </c>
      <c r="H21" s="218"/>
      <c r="I21" s="218">
        <f>SUM(I15:I20)</f>
        <v>45699257</v>
      </c>
      <c r="J21" s="148" t="str">
        <f t="shared" si="0"/>
        <v>OK</v>
      </c>
      <c r="K21" s="218"/>
      <c r="L21" s="218">
        <f>SUM(L15:L20)</f>
        <v>45699257</v>
      </c>
      <c r="M21" s="148" t="str">
        <f t="shared" si="1"/>
        <v>OK</v>
      </c>
    </row>
    <row r="22" spans="1:13" ht="15" x14ac:dyDescent="0.25">
      <c r="A22" s="205" t="s">
        <v>422</v>
      </c>
      <c r="B22" s="205"/>
      <c r="C22" s="206" t="s">
        <v>423</v>
      </c>
      <c r="D22" s="207"/>
      <c r="E22" s="323"/>
      <c r="F22" s="207"/>
      <c r="G22" s="208"/>
      <c r="H22" s="207"/>
      <c r="I22" s="152">
        <f t="shared" si="4"/>
        <v>0</v>
      </c>
      <c r="J22" s="148" t="str">
        <f t="shared" si="0"/>
        <v>OK</v>
      </c>
      <c r="K22" s="207"/>
      <c r="L22" s="152">
        <f t="shared" si="2"/>
        <v>0</v>
      </c>
      <c r="M22" s="148" t="str">
        <f t="shared" si="1"/>
        <v>OK</v>
      </c>
    </row>
    <row r="23" spans="1:13" ht="15" x14ac:dyDescent="0.25">
      <c r="A23" s="210" t="s">
        <v>424</v>
      </c>
      <c r="B23" s="210" t="s">
        <v>425</v>
      </c>
      <c r="C23" s="211" t="s">
        <v>426</v>
      </c>
      <c r="D23" s="210" t="s">
        <v>88</v>
      </c>
      <c r="E23" s="321">
        <v>69</v>
      </c>
      <c r="F23" s="213">
        <v>30385</v>
      </c>
      <c r="G23" s="213">
        <f t="shared" ref="G23:G26" si="6">+ROUND(F23*E23,0)</f>
        <v>2096565</v>
      </c>
      <c r="H23" s="213">
        <v>30385</v>
      </c>
      <c r="I23" s="152">
        <f t="shared" si="4"/>
        <v>2096565</v>
      </c>
      <c r="J23" s="148" t="str">
        <f t="shared" si="0"/>
        <v>OK</v>
      </c>
      <c r="K23" s="213">
        <v>30385</v>
      </c>
      <c r="L23" s="152">
        <f t="shared" si="2"/>
        <v>2096565</v>
      </c>
      <c r="M23" s="148" t="str">
        <f t="shared" si="1"/>
        <v>OK</v>
      </c>
    </row>
    <row r="24" spans="1:13" ht="15" x14ac:dyDescent="0.25">
      <c r="A24" s="210" t="s">
        <v>427</v>
      </c>
      <c r="B24" s="210" t="s">
        <v>428</v>
      </c>
      <c r="C24" s="211" t="s">
        <v>429</v>
      </c>
      <c r="D24" s="210" t="s">
        <v>88</v>
      </c>
      <c r="E24" s="321">
        <v>81</v>
      </c>
      <c r="F24" s="213">
        <v>18915</v>
      </c>
      <c r="G24" s="213">
        <f t="shared" si="6"/>
        <v>1532115</v>
      </c>
      <c r="H24" s="213">
        <v>18915</v>
      </c>
      <c r="I24" s="152">
        <f t="shared" si="4"/>
        <v>1532115</v>
      </c>
      <c r="J24" s="148" t="str">
        <f t="shared" si="0"/>
        <v>OK</v>
      </c>
      <c r="K24" s="213">
        <v>18915</v>
      </c>
      <c r="L24" s="152">
        <f t="shared" si="2"/>
        <v>1532115</v>
      </c>
      <c r="M24" s="148" t="str">
        <f t="shared" si="1"/>
        <v>OK</v>
      </c>
    </row>
    <row r="25" spans="1:13" ht="15" x14ac:dyDescent="0.25">
      <c r="A25" s="210" t="s">
        <v>430</v>
      </c>
      <c r="B25" s="210" t="s">
        <v>431</v>
      </c>
      <c r="C25" s="211" t="s">
        <v>432</v>
      </c>
      <c r="D25" s="210" t="s">
        <v>2</v>
      </c>
      <c r="E25" s="321">
        <v>21</v>
      </c>
      <c r="F25" s="213">
        <v>41622</v>
      </c>
      <c r="G25" s="213">
        <f t="shared" si="6"/>
        <v>874062</v>
      </c>
      <c r="H25" s="213">
        <v>41622</v>
      </c>
      <c r="I25" s="152">
        <f t="shared" si="4"/>
        <v>874062</v>
      </c>
      <c r="J25" s="148" t="str">
        <f t="shared" si="0"/>
        <v>OK</v>
      </c>
      <c r="K25" s="213">
        <v>41622</v>
      </c>
      <c r="L25" s="152">
        <f t="shared" si="2"/>
        <v>874062</v>
      </c>
      <c r="M25" s="148" t="str">
        <f t="shared" si="1"/>
        <v>OK</v>
      </c>
    </row>
    <row r="26" spans="1:13" ht="24" x14ac:dyDescent="0.25">
      <c r="A26" s="210">
        <v>3.04</v>
      </c>
      <c r="B26" s="210" t="s">
        <v>433</v>
      </c>
      <c r="C26" s="211" t="s">
        <v>434</v>
      </c>
      <c r="D26" s="210" t="s">
        <v>2</v>
      </c>
      <c r="E26" s="321">
        <v>4</v>
      </c>
      <c r="F26" s="214">
        <v>274130</v>
      </c>
      <c r="G26" s="214">
        <f t="shared" si="6"/>
        <v>1096520</v>
      </c>
      <c r="H26" s="214">
        <v>274130</v>
      </c>
      <c r="I26" s="152">
        <f t="shared" si="4"/>
        <v>1096520</v>
      </c>
      <c r="J26" s="148" t="str">
        <f t="shared" si="0"/>
        <v>OK</v>
      </c>
      <c r="K26" s="214">
        <v>274130</v>
      </c>
      <c r="L26" s="152">
        <f t="shared" si="2"/>
        <v>1096520</v>
      </c>
      <c r="M26" s="148" t="str">
        <f t="shared" si="1"/>
        <v>OK</v>
      </c>
    </row>
    <row r="27" spans="1:13" ht="15" x14ac:dyDescent="0.25">
      <c r="A27" s="216"/>
      <c r="B27" s="216"/>
      <c r="C27" s="215" t="s">
        <v>435</v>
      </c>
      <c r="D27" s="216"/>
      <c r="E27" s="322"/>
      <c r="F27" s="218"/>
      <c r="G27" s="218">
        <f>SUM(G23:G26)</f>
        <v>5599262</v>
      </c>
      <c r="H27" s="218"/>
      <c r="I27" s="218">
        <f>SUM(I23:I26)</f>
        <v>5599262</v>
      </c>
      <c r="J27" s="148" t="str">
        <f t="shared" si="0"/>
        <v>OK</v>
      </c>
      <c r="K27" s="218"/>
      <c r="L27" s="218">
        <f>SUM(L23:L26)</f>
        <v>5599262</v>
      </c>
      <c r="M27" s="148" t="str">
        <f t="shared" si="1"/>
        <v>OK</v>
      </c>
    </row>
    <row r="28" spans="1:13" ht="15" x14ac:dyDescent="0.25">
      <c r="A28" s="205" t="s">
        <v>436</v>
      </c>
      <c r="B28" s="205"/>
      <c r="C28" s="206" t="s">
        <v>437</v>
      </c>
      <c r="D28" s="207"/>
      <c r="E28" s="323"/>
      <c r="F28" s="207"/>
      <c r="G28" s="208"/>
      <c r="H28" s="207"/>
      <c r="I28" s="152">
        <f t="shared" si="4"/>
        <v>0</v>
      </c>
      <c r="J28" s="148" t="str">
        <f t="shared" si="0"/>
        <v>OK</v>
      </c>
      <c r="K28" s="207"/>
      <c r="L28" s="152">
        <f t="shared" si="2"/>
        <v>0</v>
      </c>
      <c r="M28" s="148" t="str">
        <f t="shared" si="1"/>
        <v>OK</v>
      </c>
    </row>
    <row r="29" spans="1:13" ht="36" x14ac:dyDescent="0.25">
      <c r="A29" s="210" t="s">
        <v>438</v>
      </c>
      <c r="B29" s="210" t="s">
        <v>439</v>
      </c>
      <c r="C29" s="211" t="s">
        <v>440</v>
      </c>
      <c r="D29" s="210" t="s">
        <v>7</v>
      </c>
      <c r="E29" s="321">
        <v>494</v>
      </c>
      <c r="F29" s="214">
        <v>75674</v>
      </c>
      <c r="G29" s="214">
        <f t="shared" ref="G29" si="7">+ROUND(F29*E29,0)</f>
        <v>37382956</v>
      </c>
      <c r="H29" s="214">
        <v>75674</v>
      </c>
      <c r="I29" s="152">
        <f t="shared" si="4"/>
        <v>37382956</v>
      </c>
      <c r="J29" s="148" t="str">
        <f t="shared" si="0"/>
        <v>OK</v>
      </c>
      <c r="K29" s="214">
        <v>75674</v>
      </c>
      <c r="L29" s="152">
        <f t="shared" si="2"/>
        <v>37382956</v>
      </c>
      <c r="M29" s="148" t="str">
        <f t="shared" si="1"/>
        <v>OK</v>
      </c>
    </row>
    <row r="30" spans="1:13" ht="15" x14ac:dyDescent="0.25">
      <c r="A30" s="216"/>
      <c r="B30" s="216"/>
      <c r="C30" s="215" t="s">
        <v>441</v>
      </c>
      <c r="D30" s="216"/>
      <c r="E30" s="322"/>
      <c r="F30" s="218"/>
      <c r="G30" s="218">
        <f>SUM(G29)</f>
        <v>37382956</v>
      </c>
      <c r="H30" s="218"/>
      <c r="I30" s="218">
        <f>SUM(I29)</f>
        <v>37382956</v>
      </c>
      <c r="J30" s="148" t="str">
        <f t="shared" si="0"/>
        <v>OK</v>
      </c>
      <c r="K30" s="218"/>
      <c r="L30" s="218">
        <f>SUM(L29)</f>
        <v>37382956</v>
      </c>
      <c r="M30" s="148" t="str">
        <f t="shared" si="1"/>
        <v>OK</v>
      </c>
    </row>
    <row r="31" spans="1:13" ht="15" x14ac:dyDescent="0.25">
      <c r="A31" s="205" t="s">
        <v>442</v>
      </c>
      <c r="B31" s="205"/>
      <c r="C31" s="206" t="s">
        <v>443</v>
      </c>
      <c r="D31" s="207"/>
      <c r="E31" s="323"/>
      <c r="F31" s="207"/>
      <c r="G31" s="208"/>
      <c r="H31" s="207"/>
      <c r="I31" s="152">
        <f t="shared" si="4"/>
        <v>0</v>
      </c>
      <c r="J31" s="148" t="str">
        <f t="shared" si="0"/>
        <v>OK</v>
      </c>
      <c r="K31" s="207"/>
      <c r="L31" s="152">
        <f t="shared" si="2"/>
        <v>0</v>
      </c>
      <c r="M31" s="148" t="str">
        <f t="shared" si="1"/>
        <v>OK</v>
      </c>
    </row>
    <row r="32" spans="1:13" ht="24" x14ac:dyDescent="0.25">
      <c r="A32" s="210" t="s">
        <v>444</v>
      </c>
      <c r="B32" s="210">
        <v>3.13</v>
      </c>
      <c r="C32" s="211" t="s">
        <v>445</v>
      </c>
      <c r="D32" s="210" t="s">
        <v>88</v>
      </c>
      <c r="E32" s="321">
        <v>108</v>
      </c>
      <c r="F32" s="214">
        <v>277721</v>
      </c>
      <c r="G32" s="214">
        <f t="shared" ref="G32:G47" si="8">+ROUND(F32*E32,0)</f>
        <v>29993868</v>
      </c>
      <c r="H32" s="214">
        <v>277721</v>
      </c>
      <c r="I32" s="152">
        <f t="shared" si="4"/>
        <v>29993868</v>
      </c>
      <c r="J32" s="148" t="str">
        <f t="shared" si="0"/>
        <v>OK</v>
      </c>
      <c r="K32" s="214">
        <v>277721</v>
      </c>
      <c r="L32" s="152">
        <f t="shared" si="2"/>
        <v>29993868</v>
      </c>
      <c r="M32" s="148" t="str">
        <f t="shared" si="1"/>
        <v>OK</v>
      </c>
    </row>
    <row r="33" spans="1:13" ht="15" x14ac:dyDescent="0.25">
      <c r="A33" s="210" t="s">
        <v>446</v>
      </c>
      <c r="B33" s="210"/>
      <c r="C33" s="211" t="s">
        <v>447</v>
      </c>
      <c r="D33" s="210" t="s">
        <v>2</v>
      </c>
      <c r="E33" s="321">
        <v>36</v>
      </c>
      <c r="F33" s="214">
        <v>146475</v>
      </c>
      <c r="G33" s="214">
        <f t="shared" si="8"/>
        <v>5273100</v>
      </c>
      <c r="H33" s="214">
        <v>146475</v>
      </c>
      <c r="I33" s="152">
        <f t="shared" si="4"/>
        <v>5273100</v>
      </c>
      <c r="J33" s="148" t="str">
        <f t="shared" si="0"/>
        <v>OK</v>
      </c>
      <c r="K33" s="214">
        <v>146475</v>
      </c>
      <c r="L33" s="152">
        <f t="shared" si="2"/>
        <v>5273100</v>
      </c>
      <c r="M33" s="148" t="str">
        <f t="shared" si="1"/>
        <v>OK</v>
      </c>
    </row>
    <row r="34" spans="1:13" ht="24" x14ac:dyDescent="0.25">
      <c r="A34" s="210" t="s">
        <v>448</v>
      </c>
      <c r="B34" s="210">
        <v>3.14</v>
      </c>
      <c r="C34" s="211" t="s">
        <v>449</v>
      </c>
      <c r="D34" s="210" t="s">
        <v>2</v>
      </c>
      <c r="E34" s="321">
        <v>1</v>
      </c>
      <c r="F34" s="214">
        <v>3073870</v>
      </c>
      <c r="G34" s="214">
        <f t="shared" si="8"/>
        <v>3073870</v>
      </c>
      <c r="H34" s="214">
        <v>3073870</v>
      </c>
      <c r="I34" s="152">
        <f t="shared" si="4"/>
        <v>3073870</v>
      </c>
      <c r="J34" s="148" t="str">
        <f t="shared" si="0"/>
        <v>OK</v>
      </c>
      <c r="K34" s="214">
        <v>3073870</v>
      </c>
      <c r="L34" s="152">
        <f t="shared" si="2"/>
        <v>3073870</v>
      </c>
      <c r="M34" s="148" t="str">
        <f t="shared" si="1"/>
        <v>OK</v>
      </c>
    </row>
    <row r="35" spans="1:13" ht="24" x14ac:dyDescent="0.25">
      <c r="A35" s="210" t="s">
        <v>450</v>
      </c>
      <c r="B35" s="210" t="s">
        <v>451</v>
      </c>
      <c r="C35" s="211" t="s">
        <v>452</v>
      </c>
      <c r="D35" s="210" t="s">
        <v>2</v>
      </c>
      <c r="E35" s="321">
        <v>1</v>
      </c>
      <c r="F35" s="214">
        <v>3554427</v>
      </c>
      <c r="G35" s="214">
        <f t="shared" si="8"/>
        <v>3554427</v>
      </c>
      <c r="H35" s="214">
        <v>3554427</v>
      </c>
      <c r="I35" s="152">
        <f t="shared" si="4"/>
        <v>3554427</v>
      </c>
      <c r="J35" s="148" t="str">
        <f t="shared" si="0"/>
        <v>OK</v>
      </c>
      <c r="K35" s="214">
        <v>3554427</v>
      </c>
      <c r="L35" s="152">
        <f t="shared" si="2"/>
        <v>3554427</v>
      </c>
      <c r="M35" s="148" t="str">
        <f t="shared" si="1"/>
        <v>OK</v>
      </c>
    </row>
    <row r="36" spans="1:13" ht="24" x14ac:dyDescent="0.25">
      <c r="A36" s="210" t="s">
        <v>453</v>
      </c>
      <c r="B36" s="210" t="s">
        <v>451</v>
      </c>
      <c r="C36" s="211" t="s">
        <v>454</v>
      </c>
      <c r="D36" s="210" t="s">
        <v>2</v>
      </c>
      <c r="E36" s="321">
        <v>1</v>
      </c>
      <c r="F36" s="214">
        <v>3251381</v>
      </c>
      <c r="G36" s="214">
        <f t="shared" si="8"/>
        <v>3251381</v>
      </c>
      <c r="H36" s="214">
        <v>3251381</v>
      </c>
      <c r="I36" s="152">
        <f t="shared" si="4"/>
        <v>3251381</v>
      </c>
      <c r="J36" s="148" t="str">
        <f t="shared" si="0"/>
        <v>OK</v>
      </c>
      <c r="K36" s="214">
        <v>3251381</v>
      </c>
      <c r="L36" s="152">
        <f t="shared" si="2"/>
        <v>3251381</v>
      </c>
      <c r="M36" s="148" t="str">
        <f t="shared" si="1"/>
        <v>OK</v>
      </c>
    </row>
    <row r="37" spans="1:13" ht="24" x14ac:dyDescent="0.25">
      <c r="A37" s="210" t="s">
        <v>455</v>
      </c>
      <c r="B37" s="210" t="s">
        <v>451</v>
      </c>
      <c r="C37" s="211" t="s">
        <v>456</v>
      </c>
      <c r="D37" s="210" t="s">
        <v>2</v>
      </c>
      <c r="E37" s="321">
        <v>1</v>
      </c>
      <c r="F37" s="214">
        <v>2571992</v>
      </c>
      <c r="G37" s="214">
        <f t="shared" si="8"/>
        <v>2571992</v>
      </c>
      <c r="H37" s="214">
        <v>2571992</v>
      </c>
      <c r="I37" s="152">
        <f t="shared" si="4"/>
        <v>2571992</v>
      </c>
      <c r="J37" s="148" t="str">
        <f t="shared" si="0"/>
        <v>OK</v>
      </c>
      <c r="K37" s="214">
        <v>2571992</v>
      </c>
      <c r="L37" s="152">
        <f t="shared" si="2"/>
        <v>2571992</v>
      </c>
      <c r="M37" s="148" t="str">
        <f t="shared" si="1"/>
        <v>OK</v>
      </c>
    </row>
    <row r="38" spans="1:13" ht="24" x14ac:dyDescent="0.25">
      <c r="A38" s="210" t="s">
        <v>457</v>
      </c>
      <c r="B38" s="210" t="s">
        <v>451</v>
      </c>
      <c r="C38" s="211" t="s">
        <v>458</v>
      </c>
      <c r="D38" s="210" t="s">
        <v>2</v>
      </c>
      <c r="E38" s="321">
        <v>1</v>
      </c>
      <c r="F38" s="214">
        <v>2491981</v>
      </c>
      <c r="G38" s="214">
        <f t="shared" si="8"/>
        <v>2491981</v>
      </c>
      <c r="H38" s="214">
        <v>2491981</v>
      </c>
      <c r="I38" s="152">
        <f t="shared" si="4"/>
        <v>2491981</v>
      </c>
      <c r="J38" s="148" t="str">
        <f t="shared" si="0"/>
        <v>OK</v>
      </c>
      <c r="K38" s="214">
        <v>2491981</v>
      </c>
      <c r="L38" s="152">
        <f t="shared" si="2"/>
        <v>2491981</v>
      </c>
      <c r="M38" s="148" t="str">
        <f t="shared" si="1"/>
        <v>OK</v>
      </c>
    </row>
    <row r="39" spans="1:13" ht="24" x14ac:dyDescent="0.25">
      <c r="A39" s="210" t="s">
        <v>459</v>
      </c>
      <c r="B39" s="210" t="s">
        <v>451</v>
      </c>
      <c r="C39" s="211" t="s">
        <v>460</v>
      </c>
      <c r="D39" s="210" t="s">
        <v>2</v>
      </c>
      <c r="E39" s="321">
        <v>1</v>
      </c>
      <c r="F39" s="214">
        <v>1376038</v>
      </c>
      <c r="G39" s="214">
        <f t="shared" si="8"/>
        <v>1376038</v>
      </c>
      <c r="H39" s="214">
        <v>1376038</v>
      </c>
      <c r="I39" s="152">
        <f t="shared" si="4"/>
        <v>1376038</v>
      </c>
      <c r="J39" s="148" t="str">
        <f t="shared" si="0"/>
        <v>OK</v>
      </c>
      <c r="K39" s="214">
        <v>1376038</v>
      </c>
      <c r="L39" s="152">
        <f t="shared" si="2"/>
        <v>1376038</v>
      </c>
      <c r="M39" s="148" t="str">
        <f t="shared" si="1"/>
        <v>OK</v>
      </c>
    </row>
    <row r="40" spans="1:13" ht="24" x14ac:dyDescent="0.25">
      <c r="A40" s="210" t="s">
        <v>461</v>
      </c>
      <c r="B40" s="210" t="s">
        <v>451</v>
      </c>
      <c r="C40" s="211" t="s">
        <v>462</v>
      </c>
      <c r="D40" s="210" t="s">
        <v>2</v>
      </c>
      <c r="E40" s="321">
        <v>1</v>
      </c>
      <c r="F40" s="214">
        <v>1024516</v>
      </c>
      <c r="G40" s="214">
        <f t="shared" si="8"/>
        <v>1024516</v>
      </c>
      <c r="H40" s="214">
        <v>1024516</v>
      </c>
      <c r="I40" s="152">
        <f t="shared" si="4"/>
        <v>1024516</v>
      </c>
      <c r="J40" s="148" t="str">
        <f t="shared" si="0"/>
        <v>OK</v>
      </c>
      <c r="K40" s="214">
        <v>1024516</v>
      </c>
      <c r="L40" s="152">
        <f t="shared" si="2"/>
        <v>1024516</v>
      </c>
      <c r="M40" s="148" t="str">
        <f t="shared" si="1"/>
        <v>OK</v>
      </c>
    </row>
    <row r="41" spans="1:13" ht="24" x14ac:dyDescent="0.25">
      <c r="A41" s="210" t="s">
        <v>463</v>
      </c>
      <c r="B41" s="210" t="s">
        <v>451</v>
      </c>
      <c r="C41" s="211" t="s">
        <v>464</v>
      </c>
      <c r="D41" s="210" t="s">
        <v>2</v>
      </c>
      <c r="E41" s="321">
        <v>1</v>
      </c>
      <c r="F41" s="214">
        <v>1564285</v>
      </c>
      <c r="G41" s="214">
        <f t="shared" si="8"/>
        <v>1564285</v>
      </c>
      <c r="H41" s="214">
        <v>1564285</v>
      </c>
      <c r="I41" s="152">
        <f t="shared" si="4"/>
        <v>1564285</v>
      </c>
      <c r="J41" s="148" t="str">
        <f t="shared" si="0"/>
        <v>OK</v>
      </c>
      <c r="K41" s="214">
        <v>1564285</v>
      </c>
      <c r="L41" s="152">
        <f t="shared" si="2"/>
        <v>1564285</v>
      </c>
      <c r="M41" s="148" t="str">
        <f t="shared" si="1"/>
        <v>OK</v>
      </c>
    </row>
    <row r="42" spans="1:13" ht="24" x14ac:dyDescent="0.25">
      <c r="A42" s="210" t="s">
        <v>465</v>
      </c>
      <c r="B42" s="210" t="s">
        <v>451</v>
      </c>
      <c r="C42" s="211" t="s">
        <v>466</v>
      </c>
      <c r="D42" s="210" t="s">
        <v>2</v>
      </c>
      <c r="E42" s="321">
        <v>1</v>
      </c>
      <c r="F42" s="214">
        <v>2100668</v>
      </c>
      <c r="G42" s="214">
        <f t="shared" si="8"/>
        <v>2100668</v>
      </c>
      <c r="H42" s="214">
        <v>2100668</v>
      </c>
      <c r="I42" s="152">
        <f t="shared" si="4"/>
        <v>2100668</v>
      </c>
      <c r="J42" s="148" t="str">
        <f t="shared" si="0"/>
        <v>OK</v>
      </c>
      <c r="K42" s="214">
        <v>2100668</v>
      </c>
      <c r="L42" s="152">
        <f t="shared" si="2"/>
        <v>2100668</v>
      </c>
      <c r="M42" s="148" t="str">
        <f t="shared" si="1"/>
        <v>OK</v>
      </c>
    </row>
    <row r="43" spans="1:13" ht="24" x14ac:dyDescent="0.25">
      <c r="A43" s="210" t="s">
        <v>467</v>
      </c>
      <c r="B43" s="210" t="s">
        <v>451</v>
      </c>
      <c r="C43" s="211" t="s">
        <v>468</v>
      </c>
      <c r="D43" s="210" t="s">
        <v>2</v>
      </c>
      <c r="E43" s="321">
        <v>1</v>
      </c>
      <c r="F43" s="214">
        <v>1626621</v>
      </c>
      <c r="G43" s="214">
        <f t="shared" si="8"/>
        <v>1626621</v>
      </c>
      <c r="H43" s="214">
        <v>1626621</v>
      </c>
      <c r="I43" s="152">
        <f t="shared" si="4"/>
        <v>1626621</v>
      </c>
      <c r="J43" s="148" t="str">
        <f t="shared" si="0"/>
        <v>OK</v>
      </c>
      <c r="K43" s="214">
        <v>1626621</v>
      </c>
      <c r="L43" s="152">
        <f t="shared" si="2"/>
        <v>1626621</v>
      </c>
      <c r="M43" s="148" t="str">
        <f t="shared" si="1"/>
        <v>OK</v>
      </c>
    </row>
    <row r="44" spans="1:13" ht="24" x14ac:dyDescent="0.25">
      <c r="A44" s="210" t="s">
        <v>469</v>
      </c>
      <c r="B44" s="210" t="s">
        <v>451</v>
      </c>
      <c r="C44" s="211" t="s">
        <v>470</v>
      </c>
      <c r="D44" s="210" t="s">
        <v>88</v>
      </c>
      <c r="E44" s="321">
        <v>51.44</v>
      </c>
      <c r="F44" s="214">
        <v>45621</v>
      </c>
      <c r="G44" s="214">
        <f t="shared" si="8"/>
        <v>2346744</v>
      </c>
      <c r="H44" s="214">
        <v>45621</v>
      </c>
      <c r="I44" s="152">
        <f t="shared" si="4"/>
        <v>2346744</v>
      </c>
      <c r="J44" s="148" t="str">
        <f t="shared" si="0"/>
        <v>OK</v>
      </c>
      <c r="K44" s="214">
        <v>45621</v>
      </c>
      <c r="L44" s="152">
        <f t="shared" si="2"/>
        <v>2346744</v>
      </c>
      <c r="M44" s="148" t="str">
        <f t="shared" si="1"/>
        <v>OK</v>
      </c>
    </row>
    <row r="45" spans="1:13" ht="24" x14ac:dyDescent="0.25">
      <c r="A45" s="210" t="s">
        <v>471</v>
      </c>
      <c r="B45" s="210"/>
      <c r="C45" s="211" t="s">
        <v>472</v>
      </c>
      <c r="D45" s="210" t="s">
        <v>88</v>
      </c>
      <c r="E45" s="321">
        <v>301</v>
      </c>
      <c r="F45" s="213">
        <v>68345</v>
      </c>
      <c r="G45" s="213">
        <f t="shared" si="8"/>
        <v>20571845</v>
      </c>
      <c r="H45" s="213">
        <v>68345</v>
      </c>
      <c r="I45" s="152">
        <f t="shared" si="4"/>
        <v>20571845</v>
      </c>
      <c r="J45" s="148" t="str">
        <f t="shared" si="0"/>
        <v>OK</v>
      </c>
      <c r="K45" s="213">
        <v>68345</v>
      </c>
      <c r="L45" s="152">
        <f t="shared" si="2"/>
        <v>20571845</v>
      </c>
      <c r="M45" s="148" t="str">
        <f t="shared" si="1"/>
        <v>OK</v>
      </c>
    </row>
    <row r="46" spans="1:13" ht="24" x14ac:dyDescent="0.25">
      <c r="A46" s="210" t="s">
        <v>473</v>
      </c>
      <c r="B46" s="210"/>
      <c r="C46" s="211" t="s">
        <v>474</v>
      </c>
      <c r="D46" s="210" t="s">
        <v>88</v>
      </c>
      <c r="E46" s="321">
        <v>127.7</v>
      </c>
      <c r="F46" s="213">
        <v>98664</v>
      </c>
      <c r="G46" s="213">
        <f t="shared" si="8"/>
        <v>12599393</v>
      </c>
      <c r="H46" s="213">
        <v>98664</v>
      </c>
      <c r="I46" s="152">
        <f t="shared" si="4"/>
        <v>12599393</v>
      </c>
      <c r="J46" s="148" t="str">
        <f t="shared" si="0"/>
        <v>OK</v>
      </c>
      <c r="K46" s="213">
        <v>98664</v>
      </c>
      <c r="L46" s="152">
        <f t="shared" si="2"/>
        <v>12599393</v>
      </c>
      <c r="M46" s="148" t="str">
        <f t="shared" si="1"/>
        <v>OK</v>
      </c>
    </row>
    <row r="47" spans="1:13" ht="48" x14ac:dyDescent="0.25">
      <c r="A47" s="210" t="s">
        <v>475</v>
      </c>
      <c r="B47" s="210"/>
      <c r="C47" s="211" t="s">
        <v>476</v>
      </c>
      <c r="D47" s="210" t="s">
        <v>88</v>
      </c>
      <c r="E47" s="321">
        <v>57</v>
      </c>
      <c r="F47" s="213">
        <v>64844</v>
      </c>
      <c r="G47" s="213">
        <f t="shared" si="8"/>
        <v>3696108</v>
      </c>
      <c r="H47" s="213">
        <v>64844</v>
      </c>
      <c r="I47" s="152">
        <f t="shared" si="4"/>
        <v>3696108</v>
      </c>
      <c r="J47" s="148" t="str">
        <f t="shared" si="0"/>
        <v>OK</v>
      </c>
      <c r="K47" s="213">
        <v>64844</v>
      </c>
      <c r="L47" s="152">
        <f t="shared" si="2"/>
        <v>3696108</v>
      </c>
      <c r="M47" s="148" t="str">
        <f t="shared" si="1"/>
        <v>OK</v>
      </c>
    </row>
    <row r="48" spans="1:13" ht="15" x14ac:dyDescent="0.25">
      <c r="A48" s="216"/>
      <c r="B48" s="216"/>
      <c r="C48" s="215" t="s">
        <v>477</v>
      </c>
      <c r="D48" s="216"/>
      <c r="E48" s="322"/>
      <c r="F48" s="218"/>
      <c r="G48" s="218">
        <f>SUM(G32:G47)</f>
        <v>97116837</v>
      </c>
      <c r="H48" s="218"/>
      <c r="I48" s="218">
        <f>SUM(I32:I47)</f>
        <v>97116837</v>
      </c>
      <c r="J48" s="148" t="str">
        <f t="shared" si="0"/>
        <v>OK</v>
      </c>
      <c r="K48" s="218"/>
      <c r="L48" s="218">
        <f>SUM(L32:L47)</f>
        <v>97116837</v>
      </c>
      <c r="M48" s="148" t="str">
        <f t="shared" si="1"/>
        <v>OK</v>
      </c>
    </row>
    <row r="49" spans="1:13" ht="15" x14ac:dyDescent="0.25">
      <c r="A49" s="205" t="s">
        <v>478</v>
      </c>
      <c r="B49" s="205"/>
      <c r="C49" s="206" t="s">
        <v>349</v>
      </c>
      <c r="D49" s="207"/>
      <c r="E49" s="323"/>
      <c r="F49" s="207"/>
      <c r="G49" s="208"/>
      <c r="H49" s="207"/>
      <c r="I49" s="152">
        <f t="shared" si="4"/>
        <v>0</v>
      </c>
      <c r="J49" s="148" t="str">
        <f t="shared" si="0"/>
        <v>OK</v>
      </c>
      <c r="K49" s="207"/>
      <c r="L49" s="152">
        <f t="shared" si="2"/>
        <v>0</v>
      </c>
      <c r="M49" s="148" t="str">
        <f t="shared" si="1"/>
        <v>OK</v>
      </c>
    </row>
    <row r="50" spans="1:13" ht="15" x14ac:dyDescent="0.25">
      <c r="A50" s="210" t="s">
        <v>479</v>
      </c>
      <c r="B50" s="210" t="s">
        <v>480</v>
      </c>
      <c r="C50" s="211" t="s">
        <v>481</v>
      </c>
      <c r="D50" s="210" t="s">
        <v>7</v>
      </c>
      <c r="E50" s="321">
        <v>369</v>
      </c>
      <c r="F50" s="213">
        <v>63618</v>
      </c>
      <c r="G50" s="213">
        <f t="shared" ref="G50:G53" si="9">+ROUND(F50*E50,0)</f>
        <v>23475042</v>
      </c>
      <c r="H50" s="213">
        <v>63618</v>
      </c>
      <c r="I50" s="152">
        <f t="shared" si="4"/>
        <v>23475042</v>
      </c>
      <c r="J50" s="148" t="str">
        <f t="shared" si="0"/>
        <v>OK</v>
      </c>
      <c r="K50" s="213">
        <v>63618</v>
      </c>
      <c r="L50" s="152">
        <f t="shared" si="2"/>
        <v>23475042</v>
      </c>
      <c r="M50" s="148" t="str">
        <f t="shared" si="1"/>
        <v>OK</v>
      </c>
    </row>
    <row r="51" spans="1:13" ht="36" x14ac:dyDescent="0.25">
      <c r="A51" s="210" t="s">
        <v>482</v>
      </c>
      <c r="B51" s="210" t="s">
        <v>483</v>
      </c>
      <c r="C51" s="211" t="s">
        <v>484</v>
      </c>
      <c r="D51" s="210" t="s">
        <v>88</v>
      </c>
      <c r="E51" s="321">
        <v>81</v>
      </c>
      <c r="F51" s="213">
        <v>78734</v>
      </c>
      <c r="G51" s="213">
        <f t="shared" si="9"/>
        <v>6377454</v>
      </c>
      <c r="H51" s="213">
        <v>78734</v>
      </c>
      <c r="I51" s="152">
        <f t="shared" si="4"/>
        <v>6377454</v>
      </c>
      <c r="J51" s="148" t="str">
        <f t="shared" si="0"/>
        <v>OK</v>
      </c>
      <c r="K51" s="213">
        <v>78734</v>
      </c>
      <c r="L51" s="152">
        <f t="shared" si="2"/>
        <v>6377454</v>
      </c>
      <c r="M51" s="148" t="str">
        <f t="shared" si="1"/>
        <v>OK</v>
      </c>
    </row>
    <row r="52" spans="1:13" ht="24" x14ac:dyDescent="0.25">
      <c r="A52" s="210" t="s">
        <v>485</v>
      </c>
      <c r="B52" s="210"/>
      <c r="C52" s="211" t="s">
        <v>486</v>
      </c>
      <c r="D52" s="210" t="s">
        <v>88</v>
      </c>
      <c r="E52" s="321">
        <v>48</v>
      </c>
      <c r="F52" s="213">
        <v>7865</v>
      </c>
      <c r="G52" s="213">
        <f t="shared" si="9"/>
        <v>377520</v>
      </c>
      <c r="H52" s="213">
        <v>7865</v>
      </c>
      <c r="I52" s="152">
        <f t="shared" si="4"/>
        <v>377520</v>
      </c>
      <c r="J52" s="148" t="str">
        <f t="shared" si="0"/>
        <v>OK</v>
      </c>
      <c r="K52" s="213">
        <v>7865</v>
      </c>
      <c r="L52" s="152">
        <f t="shared" si="2"/>
        <v>377520</v>
      </c>
      <c r="M52" s="148" t="str">
        <f t="shared" si="1"/>
        <v>OK</v>
      </c>
    </row>
    <row r="53" spans="1:13" ht="24" x14ac:dyDescent="0.25">
      <c r="A53" s="210" t="s">
        <v>487</v>
      </c>
      <c r="B53" s="210" t="s">
        <v>488</v>
      </c>
      <c r="C53" s="211" t="s">
        <v>489</v>
      </c>
      <c r="D53" s="210" t="s">
        <v>88</v>
      </c>
      <c r="E53" s="321">
        <v>54.2</v>
      </c>
      <c r="F53" s="213">
        <v>68145</v>
      </c>
      <c r="G53" s="213">
        <f t="shared" si="9"/>
        <v>3693459</v>
      </c>
      <c r="H53" s="213">
        <v>68145</v>
      </c>
      <c r="I53" s="152">
        <f t="shared" si="4"/>
        <v>3693459</v>
      </c>
      <c r="J53" s="148" t="str">
        <f t="shared" si="0"/>
        <v>OK</v>
      </c>
      <c r="K53" s="213">
        <v>68145</v>
      </c>
      <c r="L53" s="152">
        <f t="shared" si="2"/>
        <v>3693459</v>
      </c>
      <c r="M53" s="148" t="str">
        <f t="shared" si="1"/>
        <v>OK</v>
      </c>
    </row>
    <row r="54" spans="1:13" ht="15" x14ac:dyDescent="0.25">
      <c r="A54" s="216"/>
      <c r="B54" s="216"/>
      <c r="C54" s="215" t="s">
        <v>490</v>
      </c>
      <c r="D54" s="216"/>
      <c r="E54" s="322"/>
      <c r="F54" s="218"/>
      <c r="G54" s="218">
        <f>SUM(G50:G53)</f>
        <v>33923475</v>
      </c>
      <c r="H54" s="218"/>
      <c r="I54" s="218">
        <f>SUM(I50:I53)</f>
        <v>33923475</v>
      </c>
      <c r="J54" s="148" t="str">
        <f t="shared" si="0"/>
        <v>OK</v>
      </c>
      <c r="K54" s="218"/>
      <c r="L54" s="218">
        <f>SUM(L50:L53)</f>
        <v>33923475</v>
      </c>
      <c r="M54" s="148" t="str">
        <f t="shared" si="1"/>
        <v>OK</v>
      </c>
    </row>
    <row r="55" spans="1:13" ht="15" x14ac:dyDescent="0.25">
      <c r="A55" s="205" t="s">
        <v>491</v>
      </c>
      <c r="B55" s="205"/>
      <c r="C55" s="206" t="s">
        <v>492</v>
      </c>
      <c r="D55" s="207"/>
      <c r="E55" s="323"/>
      <c r="F55" s="207"/>
      <c r="G55" s="208"/>
      <c r="H55" s="207"/>
      <c r="I55" s="152">
        <f t="shared" si="4"/>
        <v>0</v>
      </c>
      <c r="J55" s="148" t="str">
        <f t="shared" si="0"/>
        <v>OK</v>
      </c>
      <c r="K55" s="207"/>
      <c r="L55" s="152">
        <f t="shared" si="2"/>
        <v>0</v>
      </c>
      <c r="M55" s="148" t="str">
        <f t="shared" si="1"/>
        <v>OK</v>
      </c>
    </row>
    <row r="56" spans="1:13" ht="36" x14ac:dyDescent="0.25">
      <c r="A56" s="210" t="s">
        <v>493</v>
      </c>
      <c r="B56" s="210" t="s">
        <v>494</v>
      </c>
      <c r="C56" s="211" t="s">
        <v>495</v>
      </c>
      <c r="D56" s="210" t="s">
        <v>7</v>
      </c>
      <c r="E56" s="321">
        <v>302</v>
      </c>
      <c r="F56" s="213">
        <v>12315</v>
      </c>
      <c r="G56" s="213">
        <f t="shared" ref="G56:G62" si="10">+ROUND(F56*E56,0)</f>
        <v>3719130</v>
      </c>
      <c r="H56" s="213">
        <v>12315</v>
      </c>
      <c r="I56" s="152">
        <f t="shared" si="4"/>
        <v>3719130</v>
      </c>
      <c r="J56" s="148" t="str">
        <f t="shared" si="0"/>
        <v>OK</v>
      </c>
      <c r="K56" s="213">
        <v>12315</v>
      </c>
      <c r="L56" s="152">
        <f t="shared" si="2"/>
        <v>3719130</v>
      </c>
      <c r="M56" s="148" t="str">
        <f t="shared" si="1"/>
        <v>OK</v>
      </c>
    </row>
    <row r="57" spans="1:13" ht="24" x14ac:dyDescent="0.25">
      <c r="A57" s="210" t="s">
        <v>496</v>
      </c>
      <c r="B57" s="210" t="s">
        <v>497</v>
      </c>
      <c r="C57" s="211" t="s">
        <v>498</v>
      </c>
      <c r="D57" s="210" t="s">
        <v>7</v>
      </c>
      <c r="E57" s="321">
        <v>302</v>
      </c>
      <c r="F57" s="213">
        <v>50766</v>
      </c>
      <c r="G57" s="213">
        <f t="shared" si="10"/>
        <v>15331332</v>
      </c>
      <c r="H57" s="213">
        <v>50766</v>
      </c>
      <c r="I57" s="152">
        <f t="shared" si="4"/>
        <v>15331332</v>
      </c>
      <c r="J57" s="148" t="str">
        <f t="shared" si="0"/>
        <v>OK</v>
      </c>
      <c r="K57" s="213">
        <v>50766</v>
      </c>
      <c r="L57" s="152">
        <f t="shared" si="2"/>
        <v>15331332</v>
      </c>
      <c r="M57" s="148" t="str">
        <f t="shared" si="1"/>
        <v>OK</v>
      </c>
    </row>
    <row r="58" spans="1:13" ht="15" x14ac:dyDescent="0.25">
      <c r="A58" s="210" t="s">
        <v>499</v>
      </c>
      <c r="B58" s="210" t="s">
        <v>500</v>
      </c>
      <c r="C58" s="211" t="s">
        <v>501</v>
      </c>
      <c r="D58" s="210" t="s">
        <v>7</v>
      </c>
      <c r="E58" s="321">
        <v>302</v>
      </c>
      <c r="F58" s="213">
        <v>38766</v>
      </c>
      <c r="G58" s="213">
        <f t="shared" si="10"/>
        <v>11707332</v>
      </c>
      <c r="H58" s="213">
        <v>38766</v>
      </c>
      <c r="I58" s="152">
        <f t="shared" si="4"/>
        <v>11707332</v>
      </c>
      <c r="J58" s="148" t="str">
        <f t="shared" si="0"/>
        <v>OK</v>
      </c>
      <c r="K58" s="213">
        <v>38766</v>
      </c>
      <c r="L58" s="152">
        <f t="shared" si="2"/>
        <v>11707332</v>
      </c>
      <c r="M58" s="148" t="str">
        <f t="shared" si="1"/>
        <v>OK</v>
      </c>
    </row>
    <row r="59" spans="1:13" ht="15" x14ac:dyDescent="0.25">
      <c r="A59" s="210" t="s">
        <v>502</v>
      </c>
      <c r="B59" s="210" t="s">
        <v>503</v>
      </c>
      <c r="C59" s="211" t="s">
        <v>504</v>
      </c>
      <c r="D59" s="210" t="s">
        <v>88</v>
      </c>
      <c r="E59" s="321">
        <v>219</v>
      </c>
      <c r="F59" s="213">
        <v>11046</v>
      </c>
      <c r="G59" s="213">
        <f t="shared" si="10"/>
        <v>2419074</v>
      </c>
      <c r="H59" s="213">
        <v>11046</v>
      </c>
      <c r="I59" s="152">
        <f t="shared" si="4"/>
        <v>2419074</v>
      </c>
      <c r="J59" s="148" t="str">
        <f t="shared" si="0"/>
        <v>OK</v>
      </c>
      <c r="K59" s="213">
        <v>11046</v>
      </c>
      <c r="L59" s="152">
        <f t="shared" si="2"/>
        <v>2419074</v>
      </c>
      <c r="M59" s="148" t="str">
        <f t="shared" si="1"/>
        <v>OK</v>
      </c>
    </row>
    <row r="60" spans="1:13" ht="24" x14ac:dyDescent="0.25">
      <c r="A60" s="219" t="s">
        <v>505</v>
      </c>
      <c r="B60" s="219"/>
      <c r="C60" s="211" t="s">
        <v>506</v>
      </c>
      <c r="D60" s="219" t="s">
        <v>7</v>
      </c>
      <c r="E60" s="324">
        <v>74</v>
      </c>
      <c r="F60" s="220">
        <v>250755</v>
      </c>
      <c r="G60" s="220">
        <f t="shared" si="10"/>
        <v>18555870</v>
      </c>
      <c r="H60" s="220">
        <v>250755</v>
      </c>
      <c r="I60" s="152">
        <f t="shared" si="4"/>
        <v>18555870</v>
      </c>
      <c r="J60" s="148" t="str">
        <f t="shared" si="0"/>
        <v>OK</v>
      </c>
      <c r="K60" s="220">
        <v>250755</v>
      </c>
      <c r="L60" s="152">
        <f t="shared" si="2"/>
        <v>18555870</v>
      </c>
      <c r="M60" s="148" t="str">
        <f t="shared" si="1"/>
        <v>OK</v>
      </c>
    </row>
    <row r="61" spans="1:13" ht="15" x14ac:dyDescent="0.25">
      <c r="A61" s="210" t="s">
        <v>507</v>
      </c>
      <c r="B61" s="210"/>
      <c r="C61" s="211" t="s">
        <v>508</v>
      </c>
      <c r="D61" s="210" t="s">
        <v>7</v>
      </c>
      <c r="E61" s="321">
        <v>5</v>
      </c>
      <c r="F61" s="213">
        <v>282450</v>
      </c>
      <c r="G61" s="220">
        <f t="shared" si="10"/>
        <v>1412250</v>
      </c>
      <c r="H61" s="213">
        <v>282450</v>
      </c>
      <c r="I61" s="152">
        <f t="shared" si="4"/>
        <v>1412250</v>
      </c>
      <c r="J61" s="148" t="str">
        <f t="shared" si="0"/>
        <v>OK</v>
      </c>
      <c r="K61" s="213">
        <v>282450</v>
      </c>
      <c r="L61" s="152">
        <f t="shared" si="2"/>
        <v>1412250</v>
      </c>
      <c r="M61" s="148" t="str">
        <f t="shared" si="1"/>
        <v>OK</v>
      </c>
    </row>
    <row r="62" spans="1:13" ht="15" x14ac:dyDescent="0.25">
      <c r="A62" s="210" t="s">
        <v>509</v>
      </c>
      <c r="B62" s="210"/>
      <c r="C62" s="211" t="s">
        <v>510</v>
      </c>
      <c r="D62" s="210" t="s">
        <v>7</v>
      </c>
      <c r="E62" s="321">
        <v>2.5</v>
      </c>
      <c r="F62" s="213">
        <v>49088</v>
      </c>
      <c r="G62" s="213">
        <f t="shared" si="10"/>
        <v>122720</v>
      </c>
      <c r="H62" s="213">
        <v>49088</v>
      </c>
      <c r="I62" s="152">
        <f t="shared" si="4"/>
        <v>122720</v>
      </c>
      <c r="J62" s="148" t="str">
        <f t="shared" si="0"/>
        <v>OK</v>
      </c>
      <c r="K62" s="213">
        <v>49088</v>
      </c>
      <c r="L62" s="152">
        <f t="shared" si="2"/>
        <v>122720</v>
      </c>
      <c r="M62" s="148" t="str">
        <f t="shared" si="1"/>
        <v>OK</v>
      </c>
    </row>
    <row r="63" spans="1:13" ht="15" x14ac:dyDescent="0.25">
      <c r="A63" s="216"/>
      <c r="B63" s="216"/>
      <c r="C63" s="215" t="s">
        <v>511</v>
      </c>
      <c r="D63" s="216"/>
      <c r="E63" s="322"/>
      <c r="F63" s="218"/>
      <c r="G63" s="218">
        <f>SUM(G56:G62)</f>
        <v>53267708</v>
      </c>
      <c r="H63" s="218"/>
      <c r="I63" s="218">
        <f>SUM(I56:I62)</f>
        <v>53267708</v>
      </c>
      <c r="J63" s="148" t="str">
        <f t="shared" si="0"/>
        <v>OK</v>
      </c>
      <c r="K63" s="218"/>
      <c r="L63" s="218">
        <f>SUM(L56:L62)</f>
        <v>53267708</v>
      </c>
      <c r="M63" s="148" t="str">
        <f t="shared" si="1"/>
        <v>OK</v>
      </c>
    </row>
    <row r="64" spans="1:13" ht="15" x14ac:dyDescent="0.25">
      <c r="A64" s="205" t="s">
        <v>512</v>
      </c>
      <c r="B64" s="205"/>
      <c r="C64" s="206" t="s">
        <v>513</v>
      </c>
      <c r="D64" s="207"/>
      <c r="E64" s="323"/>
      <c r="F64" s="207"/>
      <c r="G64" s="208"/>
      <c r="H64" s="207"/>
      <c r="I64" s="152">
        <f t="shared" si="4"/>
        <v>0</v>
      </c>
      <c r="J64" s="148" t="str">
        <f t="shared" si="0"/>
        <v>OK</v>
      </c>
      <c r="K64" s="207"/>
      <c r="L64" s="152">
        <f t="shared" si="2"/>
        <v>0</v>
      </c>
      <c r="M64" s="148" t="str">
        <f t="shared" si="1"/>
        <v>OK</v>
      </c>
    </row>
    <row r="65" spans="1:13" ht="15" x14ac:dyDescent="0.25">
      <c r="A65" s="210" t="s">
        <v>514</v>
      </c>
      <c r="B65" s="210" t="s">
        <v>515</v>
      </c>
      <c r="C65" s="211" t="s">
        <v>516</v>
      </c>
      <c r="D65" s="210" t="s">
        <v>88</v>
      </c>
      <c r="E65" s="321">
        <v>41</v>
      </c>
      <c r="F65" s="213">
        <v>12614</v>
      </c>
      <c r="G65" s="213">
        <f t="shared" ref="G65:G68" si="11">+ROUND(F65*E65,0)</f>
        <v>517174</v>
      </c>
      <c r="H65" s="213">
        <v>12614</v>
      </c>
      <c r="I65" s="152">
        <f t="shared" si="4"/>
        <v>517174</v>
      </c>
      <c r="J65" s="148" t="str">
        <f t="shared" si="0"/>
        <v>OK</v>
      </c>
      <c r="K65" s="213">
        <v>12614</v>
      </c>
      <c r="L65" s="152">
        <f t="shared" si="2"/>
        <v>517174</v>
      </c>
      <c r="M65" s="148" t="str">
        <f t="shared" si="1"/>
        <v>OK</v>
      </c>
    </row>
    <row r="66" spans="1:13" ht="15" x14ac:dyDescent="0.25">
      <c r="A66" s="210" t="s">
        <v>517</v>
      </c>
      <c r="B66" s="210" t="s">
        <v>518</v>
      </c>
      <c r="C66" s="211" t="s">
        <v>519</v>
      </c>
      <c r="D66" s="210" t="s">
        <v>88</v>
      </c>
      <c r="E66" s="321">
        <v>53</v>
      </c>
      <c r="F66" s="213">
        <v>8343</v>
      </c>
      <c r="G66" s="213">
        <f t="shared" si="11"/>
        <v>442179</v>
      </c>
      <c r="H66" s="213">
        <v>8343</v>
      </c>
      <c r="I66" s="152">
        <f t="shared" si="4"/>
        <v>442179</v>
      </c>
      <c r="J66" s="148" t="str">
        <f t="shared" si="0"/>
        <v>OK</v>
      </c>
      <c r="K66" s="213">
        <v>8343</v>
      </c>
      <c r="L66" s="152">
        <f t="shared" si="2"/>
        <v>442179</v>
      </c>
      <c r="M66" s="148" t="str">
        <f t="shared" si="1"/>
        <v>OK</v>
      </c>
    </row>
    <row r="67" spans="1:13" ht="15" x14ac:dyDescent="0.25">
      <c r="A67" s="210" t="s">
        <v>520</v>
      </c>
      <c r="B67" s="210" t="s">
        <v>521</v>
      </c>
      <c r="C67" s="211" t="s">
        <v>522</v>
      </c>
      <c r="D67" s="210" t="s">
        <v>2</v>
      </c>
      <c r="E67" s="321">
        <v>13</v>
      </c>
      <c r="F67" s="213">
        <v>57026</v>
      </c>
      <c r="G67" s="213">
        <f t="shared" si="11"/>
        <v>741338</v>
      </c>
      <c r="H67" s="213">
        <v>57026</v>
      </c>
      <c r="I67" s="152">
        <f t="shared" si="4"/>
        <v>741338</v>
      </c>
      <c r="J67" s="148" t="str">
        <f t="shared" si="0"/>
        <v>OK</v>
      </c>
      <c r="K67" s="213">
        <v>57026</v>
      </c>
      <c r="L67" s="152">
        <f t="shared" si="2"/>
        <v>741338</v>
      </c>
      <c r="M67" s="148" t="str">
        <f t="shared" si="1"/>
        <v>OK</v>
      </c>
    </row>
    <row r="68" spans="1:13" ht="24" x14ac:dyDescent="0.25">
      <c r="A68" s="210" t="s">
        <v>523</v>
      </c>
      <c r="B68" s="210" t="s">
        <v>524</v>
      </c>
      <c r="C68" s="211" t="s">
        <v>525</v>
      </c>
      <c r="D68" s="210" t="s">
        <v>2</v>
      </c>
      <c r="E68" s="321">
        <v>2</v>
      </c>
      <c r="F68" s="214">
        <v>119607</v>
      </c>
      <c r="G68" s="214">
        <f t="shared" si="11"/>
        <v>239214</v>
      </c>
      <c r="H68" s="214">
        <v>119607</v>
      </c>
      <c r="I68" s="152">
        <f t="shared" si="4"/>
        <v>239214</v>
      </c>
      <c r="J68" s="148" t="str">
        <f t="shared" si="0"/>
        <v>OK</v>
      </c>
      <c r="K68" s="214">
        <v>119607</v>
      </c>
      <c r="L68" s="152">
        <f t="shared" si="2"/>
        <v>239214</v>
      </c>
      <c r="M68" s="148" t="str">
        <f t="shared" si="1"/>
        <v>OK</v>
      </c>
    </row>
    <row r="69" spans="1:13" ht="15" x14ac:dyDescent="0.25">
      <c r="A69" s="216"/>
      <c r="B69" s="216"/>
      <c r="C69" s="215" t="s">
        <v>526</v>
      </c>
      <c r="D69" s="216"/>
      <c r="E69" s="322"/>
      <c r="F69" s="218"/>
      <c r="G69" s="218">
        <f>SUM(G65:G68)</f>
        <v>1939905</v>
      </c>
      <c r="H69" s="218"/>
      <c r="I69" s="218">
        <f>SUM(I65:I68)</f>
        <v>1939905</v>
      </c>
      <c r="J69" s="148" t="str">
        <f t="shared" si="0"/>
        <v>OK</v>
      </c>
      <c r="K69" s="218"/>
      <c r="L69" s="218">
        <f>SUM(L65:L68)</f>
        <v>1939905</v>
      </c>
      <c r="M69" s="148" t="str">
        <f t="shared" si="1"/>
        <v>OK</v>
      </c>
    </row>
    <row r="70" spans="1:13" ht="15" x14ac:dyDescent="0.25">
      <c r="A70" s="205" t="s">
        <v>527</v>
      </c>
      <c r="B70" s="205"/>
      <c r="C70" s="206" t="s">
        <v>528</v>
      </c>
      <c r="D70" s="207"/>
      <c r="E70" s="323"/>
      <c r="F70" s="207"/>
      <c r="G70" s="208"/>
      <c r="H70" s="207"/>
      <c r="I70" s="152">
        <f t="shared" si="4"/>
        <v>0</v>
      </c>
      <c r="J70" s="148" t="str">
        <f t="shared" si="0"/>
        <v>OK</v>
      </c>
      <c r="K70" s="207"/>
      <c r="L70" s="152">
        <f t="shared" si="2"/>
        <v>0</v>
      </c>
      <c r="M70" s="148" t="str">
        <f t="shared" si="1"/>
        <v>OK</v>
      </c>
    </row>
    <row r="71" spans="1:13" ht="24" x14ac:dyDescent="0.25">
      <c r="A71" s="210" t="s">
        <v>529</v>
      </c>
      <c r="B71" s="210" t="s">
        <v>530</v>
      </c>
      <c r="C71" s="211" t="s">
        <v>531</v>
      </c>
      <c r="D71" s="210" t="s">
        <v>7</v>
      </c>
      <c r="E71" s="321">
        <v>276</v>
      </c>
      <c r="F71" s="214">
        <v>56073</v>
      </c>
      <c r="G71" s="214">
        <f t="shared" ref="G71" si="12">+ROUND(F71*E71,0)</f>
        <v>15476148</v>
      </c>
      <c r="H71" s="214">
        <v>56073</v>
      </c>
      <c r="I71" s="152">
        <f t="shared" si="4"/>
        <v>15476148</v>
      </c>
      <c r="J71" s="148" t="str">
        <f t="shared" si="0"/>
        <v>OK</v>
      </c>
      <c r="K71" s="214">
        <v>56073</v>
      </c>
      <c r="L71" s="152">
        <f t="shared" si="2"/>
        <v>15476148</v>
      </c>
      <c r="M71" s="148" t="str">
        <f t="shared" si="1"/>
        <v>OK</v>
      </c>
    </row>
    <row r="72" spans="1:13" ht="15" x14ac:dyDescent="0.25">
      <c r="A72" s="216"/>
      <c r="B72" s="216"/>
      <c r="C72" s="215" t="s">
        <v>532</v>
      </c>
      <c r="D72" s="216"/>
      <c r="E72" s="322"/>
      <c r="F72" s="218"/>
      <c r="G72" s="218">
        <f>SUM(G71)</f>
        <v>15476148</v>
      </c>
      <c r="H72" s="218"/>
      <c r="I72" s="218">
        <f>SUM(I71)</f>
        <v>15476148</v>
      </c>
      <c r="J72" s="148" t="str">
        <f t="shared" si="0"/>
        <v>OK</v>
      </c>
      <c r="K72" s="218"/>
      <c r="L72" s="218">
        <f>SUM(L71)</f>
        <v>15476148</v>
      </c>
      <c r="M72" s="148" t="str">
        <f t="shared" si="1"/>
        <v>OK</v>
      </c>
    </row>
    <row r="73" spans="1:13" ht="15" x14ac:dyDescent="0.25">
      <c r="A73" s="205" t="s">
        <v>533</v>
      </c>
      <c r="B73" s="205"/>
      <c r="C73" s="206" t="s">
        <v>534</v>
      </c>
      <c r="D73" s="207"/>
      <c r="E73" s="323"/>
      <c r="F73" s="207"/>
      <c r="G73" s="208"/>
      <c r="H73" s="207"/>
      <c r="I73" s="152">
        <f t="shared" si="4"/>
        <v>0</v>
      </c>
      <c r="J73" s="148" t="str">
        <f t="shared" ref="J73:J136" si="13">+IF(H73&lt;=$F73,"OK","NO OK")</f>
        <v>OK</v>
      </c>
      <c r="K73" s="207"/>
      <c r="L73" s="152">
        <f t="shared" ref="L73:L136" si="14">ROUND($E73*K73,0)</f>
        <v>0</v>
      </c>
      <c r="M73" s="148" t="str">
        <f t="shared" ref="M73:M136" si="15">+IF(K73&lt;=$F73,"OK","NO OK")</f>
        <v>OK</v>
      </c>
    </row>
    <row r="74" spans="1:13" ht="15" x14ac:dyDescent="0.25">
      <c r="A74" s="210" t="s">
        <v>535</v>
      </c>
      <c r="B74" s="210" t="s">
        <v>536</v>
      </c>
      <c r="C74" s="211" t="s">
        <v>537</v>
      </c>
      <c r="D74" s="210" t="s">
        <v>7</v>
      </c>
      <c r="E74" s="321">
        <v>758</v>
      </c>
      <c r="F74" s="214">
        <v>9925</v>
      </c>
      <c r="G74" s="214">
        <f t="shared" ref="G74:G75" si="16">+ROUND(F74*E74,0)</f>
        <v>7523150</v>
      </c>
      <c r="H74" s="214">
        <v>9925</v>
      </c>
      <c r="I74" s="152">
        <f t="shared" ref="I74:I137" si="17">ROUND($E74*H74,0)</f>
        <v>7523150</v>
      </c>
      <c r="J74" s="148" t="str">
        <f t="shared" si="13"/>
        <v>OK</v>
      </c>
      <c r="K74" s="214">
        <v>9925</v>
      </c>
      <c r="L74" s="152">
        <f t="shared" si="14"/>
        <v>7523150</v>
      </c>
      <c r="M74" s="148" t="str">
        <f t="shared" si="15"/>
        <v>OK</v>
      </c>
    </row>
    <row r="75" spans="1:13" ht="15" x14ac:dyDescent="0.25">
      <c r="A75" s="210" t="s">
        <v>538</v>
      </c>
      <c r="B75" s="210" t="s">
        <v>539</v>
      </c>
      <c r="C75" s="211" t="s">
        <v>540</v>
      </c>
      <c r="D75" s="210" t="s">
        <v>7</v>
      </c>
      <c r="E75" s="321">
        <v>230</v>
      </c>
      <c r="F75" s="213">
        <v>12150</v>
      </c>
      <c r="G75" s="213">
        <f t="shared" si="16"/>
        <v>2794500</v>
      </c>
      <c r="H75" s="213">
        <v>12150</v>
      </c>
      <c r="I75" s="152">
        <f t="shared" si="17"/>
        <v>2794500</v>
      </c>
      <c r="J75" s="148" t="str">
        <f t="shared" si="13"/>
        <v>OK</v>
      </c>
      <c r="K75" s="213">
        <v>12150</v>
      </c>
      <c r="L75" s="152">
        <f t="shared" si="14"/>
        <v>2794500</v>
      </c>
      <c r="M75" s="148" t="str">
        <f t="shared" si="15"/>
        <v>OK</v>
      </c>
    </row>
    <row r="76" spans="1:13" ht="15" x14ac:dyDescent="0.25">
      <c r="A76" s="216"/>
      <c r="B76" s="216"/>
      <c r="C76" s="215" t="s">
        <v>541</v>
      </c>
      <c r="D76" s="216"/>
      <c r="E76" s="322"/>
      <c r="F76" s="218"/>
      <c r="G76" s="218">
        <f>SUM(G74:G75)</f>
        <v>10317650</v>
      </c>
      <c r="H76" s="218"/>
      <c r="I76" s="218">
        <f>SUM(I74:I75)</f>
        <v>10317650</v>
      </c>
      <c r="J76" s="148" t="str">
        <f t="shared" si="13"/>
        <v>OK</v>
      </c>
      <c r="K76" s="218"/>
      <c r="L76" s="218">
        <f>SUM(L74:L75)</f>
        <v>10317650</v>
      </c>
      <c r="M76" s="148" t="str">
        <f t="shared" si="15"/>
        <v>OK</v>
      </c>
    </row>
    <row r="77" spans="1:13" ht="15" x14ac:dyDescent="0.25">
      <c r="A77" s="205" t="s">
        <v>542</v>
      </c>
      <c r="B77" s="205"/>
      <c r="C77" s="206" t="s">
        <v>543</v>
      </c>
      <c r="D77" s="207"/>
      <c r="E77" s="323"/>
      <c r="F77" s="207"/>
      <c r="G77" s="208"/>
      <c r="H77" s="207"/>
      <c r="I77" s="152">
        <f t="shared" si="17"/>
        <v>0</v>
      </c>
      <c r="J77" s="148" t="str">
        <f t="shared" si="13"/>
        <v>OK</v>
      </c>
      <c r="K77" s="207"/>
      <c r="L77" s="152">
        <f t="shared" si="14"/>
        <v>0</v>
      </c>
      <c r="M77" s="148" t="str">
        <f t="shared" si="15"/>
        <v>OK</v>
      </c>
    </row>
    <row r="78" spans="1:13" ht="120" x14ac:dyDescent="0.25">
      <c r="A78" s="210" t="s">
        <v>544</v>
      </c>
      <c r="B78" s="210"/>
      <c r="C78" s="211" t="s">
        <v>545</v>
      </c>
      <c r="D78" s="210" t="s">
        <v>2</v>
      </c>
      <c r="E78" s="321">
        <v>2</v>
      </c>
      <c r="F78" s="213">
        <v>1741425</v>
      </c>
      <c r="G78" s="213">
        <f t="shared" ref="G78:G80" si="18">+ROUND(F78*E78,0)</f>
        <v>3482850</v>
      </c>
      <c r="H78" s="213">
        <v>1741425</v>
      </c>
      <c r="I78" s="152">
        <f t="shared" si="17"/>
        <v>3482850</v>
      </c>
      <c r="J78" s="148" t="str">
        <f t="shared" si="13"/>
        <v>OK</v>
      </c>
      <c r="K78" s="213">
        <v>1741425</v>
      </c>
      <c r="L78" s="152">
        <f t="shared" si="14"/>
        <v>3482850</v>
      </c>
      <c r="M78" s="148" t="str">
        <f t="shared" si="15"/>
        <v>OK</v>
      </c>
    </row>
    <row r="79" spans="1:13" ht="15" x14ac:dyDescent="0.25">
      <c r="A79" s="210" t="s">
        <v>546</v>
      </c>
      <c r="B79" s="210"/>
      <c r="C79" s="211" t="s">
        <v>547</v>
      </c>
      <c r="D79" s="210" t="s">
        <v>88</v>
      </c>
      <c r="E79" s="321">
        <v>4.8</v>
      </c>
      <c r="F79" s="213">
        <v>245306</v>
      </c>
      <c r="G79" s="213">
        <f t="shared" si="18"/>
        <v>1177469</v>
      </c>
      <c r="H79" s="213">
        <v>245306</v>
      </c>
      <c r="I79" s="152">
        <f t="shared" si="17"/>
        <v>1177469</v>
      </c>
      <c r="J79" s="148" t="str">
        <f t="shared" si="13"/>
        <v>OK</v>
      </c>
      <c r="K79" s="213">
        <v>245306</v>
      </c>
      <c r="L79" s="152">
        <f t="shared" si="14"/>
        <v>1177469</v>
      </c>
      <c r="M79" s="148" t="str">
        <f t="shared" si="15"/>
        <v>OK</v>
      </c>
    </row>
    <row r="80" spans="1:13" ht="15" x14ac:dyDescent="0.25">
      <c r="A80" s="210" t="s">
        <v>548</v>
      </c>
      <c r="B80" s="210"/>
      <c r="C80" s="211" t="s">
        <v>549</v>
      </c>
      <c r="D80" s="210" t="s">
        <v>2</v>
      </c>
      <c r="E80" s="321">
        <v>9</v>
      </c>
      <c r="F80" s="213">
        <v>92650</v>
      </c>
      <c r="G80" s="213">
        <f t="shared" si="18"/>
        <v>833850</v>
      </c>
      <c r="H80" s="213">
        <v>92650</v>
      </c>
      <c r="I80" s="152">
        <f t="shared" si="17"/>
        <v>833850</v>
      </c>
      <c r="J80" s="148" t="str">
        <f t="shared" si="13"/>
        <v>OK</v>
      </c>
      <c r="K80" s="213">
        <v>92650</v>
      </c>
      <c r="L80" s="152">
        <f t="shared" si="14"/>
        <v>833850</v>
      </c>
      <c r="M80" s="148" t="str">
        <f t="shared" si="15"/>
        <v>OK</v>
      </c>
    </row>
    <row r="81" spans="1:13" ht="15" x14ac:dyDescent="0.25">
      <c r="A81" s="216"/>
      <c r="B81" s="216"/>
      <c r="C81" s="215" t="s">
        <v>550</v>
      </c>
      <c r="D81" s="216"/>
      <c r="E81" s="322"/>
      <c r="F81" s="218"/>
      <c r="G81" s="218">
        <f>SUM(G78:G80)</f>
        <v>5494169</v>
      </c>
      <c r="H81" s="218"/>
      <c r="I81" s="218">
        <f>SUM(I78:I80)</f>
        <v>5494169</v>
      </c>
      <c r="J81" s="148" t="str">
        <f t="shared" si="13"/>
        <v>OK</v>
      </c>
      <c r="K81" s="218"/>
      <c r="L81" s="218">
        <f>SUM(L78:L80)</f>
        <v>5494169</v>
      </c>
      <c r="M81" s="148" t="str">
        <f t="shared" si="15"/>
        <v>OK</v>
      </c>
    </row>
    <row r="82" spans="1:13" ht="15" x14ac:dyDescent="0.25">
      <c r="A82" s="205" t="s">
        <v>551</v>
      </c>
      <c r="B82" s="205"/>
      <c r="C82" s="206" t="s">
        <v>552</v>
      </c>
      <c r="D82" s="207"/>
      <c r="E82" s="323"/>
      <c r="F82" s="207"/>
      <c r="G82" s="208"/>
      <c r="H82" s="207"/>
      <c r="I82" s="152">
        <f t="shared" si="17"/>
        <v>0</v>
      </c>
      <c r="J82" s="148" t="str">
        <f t="shared" si="13"/>
        <v>OK</v>
      </c>
      <c r="K82" s="207"/>
      <c r="L82" s="152">
        <f t="shared" si="14"/>
        <v>0</v>
      </c>
      <c r="M82" s="148" t="str">
        <f t="shared" si="15"/>
        <v>OK</v>
      </c>
    </row>
    <row r="83" spans="1:13" ht="15" x14ac:dyDescent="0.25">
      <c r="A83" s="210" t="s">
        <v>553</v>
      </c>
      <c r="B83" s="210"/>
      <c r="C83" s="211" t="s">
        <v>554</v>
      </c>
      <c r="D83" s="210" t="s">
        <v>7</v>
      </c>
      <c r="E83" s="321">
        <v>21</v>
      </c>
      <c r="F83" s="213">
        <v>367500</v>
      </c>
      <c r="G83" s="213">
        <f t="shared" ref="G83:G87" si="19">+ROUND(F83*E83,0)</f>
        <v>7717500</v>
      </c>
      <c r="H83" s="213">
        <v>367500</v>
      </c>
      <c r="I83" s="152">
        <f t="shared" si="17"/>
        <v>7717500</v>
      </c>
      <c r="J83" s="148" t="str">
        <f t="shared" si="13"/>
        <v>OK</v>
      </c>
      <c r="K83" s="213">
        <v>367500</v>
      </c>
      <c r="L83" s="152">
        <f t="shared" si="14"/>
        <v>7717500</v>
      </c>
      <c r="M83" s="148" t="str">
        <f t="shared" si="15"/>
        <v>OK</v>
      </c>
    </row>
    <row r="84" spans="1:13" ht="15" x14ac:dyDescent="0.25">
      <c r="A84" s="210" t="s">
        <v>555</v>
      </c>
      <c r="B84" s="210"/>
      <c r="C84" s="211" t="s">
        <v>556</v>
      </c>
      <c r="D84" s="210" t="s">
        <v>7</v>
      </c>
      <c r="E84" s="321">
        <v>49</v>
      </c>
      <c r="F84" s="213">
        <v>367500</v>
      </c>
      <c r="G84" s="213">
        <f t="shared" si="19"/>
        <v>18007500</v>
      </c>
      <c r="H84" s="213">
        <v>367500</v>
      </c>
      <c r="I84" s="152">
        <f t="shared" si="17"/>
        <v>18007500</v>
      </c>
      <c r="J84" s="148" t="str">
        <f t="shared" si="13"/>
        <v>OK</v>
      </c>
      <c r="K84" s="213">
        <v>367500</v>
      </c>
      <c r="L84" s="152">
        <f t="shared" si="14"/>
        <v>18007500</v>
      </c>
      <c r="M84" s="148" t="str">
        <f t="shared" si="15"/>
        <v>OK</v>
      </c>
    </row>
    <row r="85" spans="1:13" ht="15" x14ac:dyDescent="0.25">
      <c r="A85" s="210" t="s">
        <v>557</v>
      </c>
      <c r="B85" s="210"/>
      <c r="C85" s="211" t="s">
        <v>558</v>
      </c>
      <c r="D85" s="210" t="s">
        <v>7</v>
      </c>
      <c r="E85" s="321">
        <v>33.5</v>
      </c>
      <c r="F85" s="213">
        <v>367500</v>
      </c>
      <c r="G85" s="213">
        <f t="shared" si="19"/>
        <v>12311250</v>
      </c>
      <c r="H85" s="213">
        <v>367500</v>
      </c>
      <c r="I85" s="152">
        <f t="shared" si="17"/>
        <v>12311250</v>
      </c>
      <c r="J85" s="148" t="str">
        <f t="shared" si="13"/>
        <v>OK</v>
      </c>
      <c r="K85" s="213">
        <v>367500</v>
      </c>
      <c r="L85" s="152">
        <f t="shared" si="14"/>
        <v>12311250</v>
      </c>
      <c r="M85" s="148" t="str">
        <f t="shared" si="15"/>
        <v>OK</v>
      </c>
    </row>
    <row r="86" spans="1:13" ht="15" x14ac:dyDescent="0.25">
      <c r="A86" s="210" t="s">
        <v>559</v>
      </c>
      <c r="B86" s="210"/>
      <c r="C86" s="211" t="s">
        <v>560</v>
      </c>
      <c r="D86" s="210" t="s">
        <v>2</v>
      </c>
      <c r="E86" s="321">
        <v>6</v>
      </c>
      <c r="F86" s="213">
        <v>115238</v>
      </c>
      <c r="G86" s="213">
        <f t="shared" si="19"/>
        <v>691428</v>
      </c>
      <c r="H86" s="213">
        <v>115238</v>
      </c>
      <c r="I86" s="152">
        <f t="shared" si="17"/>
        <v>691428</v>
      </c>
      <c r="J86" s="148" t="str">
        <f t="shared" si="13"/>
        <v>OK</v>
      </c>
      <c r="K86" s="213">
        <v>115238</v>
      </c>
      <c r="L86" s="152">
        <f t="shared" si="14"/>
        <v>691428</v>
      </c>
      <c r="M86" s="148" t="str">
        <f t="shared" si="15"/>
        <v>OK</v>
      </c>
    </row>
    <row r="87" spans="1:13" ht="15" x14ac:dyDescent="0.25">
      <c r="A87" s="210" t="s">
        <v>561</v>
      </c>
      <c r="B87" s="210"/>
      <c r="C87" s="211" t="s">
        <v>562</v>
      </c>
      <c r="D87" s="210" t="s">
        <v>2</v>
      </c>
      <c r="E87" s="321">
        <v>10</v>
      </c>
      <c r="F87" s="213">
        <v>52238</v>
      </c>
      <c r="G87" s="213">
        <f t="shared" si="19"/>
        <v>522380</v>
      </c>
      <c r="H87" s="213">
        <v>52238</v>
      </c>
      <c r="I87" s="152">
        <f t="shared" si="17"/>
        <v>522380</v>
      </c>
      <c r="J87" s="148" t="str">
        <f t="shared" si="13"/>
        <v>OK</v>
      </c>
      <c r="K87" s="213">
        <v>52238</v>
      </c>
      <c r="L87" s="152">
        <f t="shared" si="14"/>
        <v>522380</v>
      </c>
      <c r="M87" s="148" t="str">
        <f t="shared" si="15"/>
        <v>OK</v>
      </c>
    </row>
    <row r="88" spans="1:13" ht="15" x14ac:dyDescent="0.25">
      <c r="A88" s="216"/>
      <c r="B88" s="216"/>
      <c r="C88" s="215" t="s">
        <v>563</v>
      </c>
      <c r="D88" s="216"/>
      <c r="E88" s="322"/>
      <c r="F88" s="218"/>
      <c r="G88" s="218">
        <f>SUM(G83:G87)</f>
        <v>39250058</v>
      </c>
      <c r="H88" s="218"/>
      <c r="I88" s="218">
        <f>SUM(I83:I87)</f>
        <v>39250058</v>
      </c>
      <c r="J88" s="148" t="str">
        <f t="shared" si="13"/>
        <v>OK</v>
      </c>
      <c r="K88" s="218"/>
      <c r="L88" s="218">
        <f>SUM(L83:L87)</f>
        <v>39250058</v>
      </c>
      <c r="M88" s="148" t="str">
        <f t="shared" si="15"/>
        <v>OK</v>
      </c>
    </row>
    <row r="89" spans="1:13" ht="15" x14ac:dyDescent="0.25">
      <c r="A89" s="205" t="s">
        <v>564</v>
      </c>
      <c r="B89" s="205"/>
      <c r="C89" s="206" t="s">
        <v>106</v>
      </c>
      <c r="D89" s="207"/>
      <c r="E89" s="323"/>
      <c r="F89" s="207"/>
      <c r="G89" s="208"/>
      <c r="H89" s="207"/>
      <c r="I89" s="152">
        <f t="shared" si="17"/>
        <v>0</v>
      </c>
      <c r="J89" s="148" t="str">
        <f t="shared" si="13"/>
        <v>OK</v>
      </c>
      <c r="K89" s="207"/>
      <c r="L89" s="152">
        <f t="shared" si="14"/>
        <v>0</v>
      </c>
      <c r="M89" s="148" t="str">
        <f t="shared" si="15"/>
        <v>OK</v>
      </c>
    </row>
    <row r="90" spans="1:13" ht="15" x14ac:dyDescent="0.25">
      <c r="A90" s="210" t="s">
        <v>565</v>
      </c>
      <c r="B90" s="210" t="s">
        <v>566</v>
      </c>
      <c r="C90" s="211" t="s">
        <v>567</v>
      </c>
      <c r="D90" s="210" t="s">
        <v>7</v>
      </c>
      <c r="E90" s="321">
        <v>142</v>
      </c>
      <c r="F90" s="213">
        <v>58503</v>
      </c>
      <c r="G90" s="213">
        <f t="shared" ref="G90:G93" si="20">+ROUND(F90*E90,0)</f>
        <v>8307426</v>
      </c>
      <c r="H90" s="213">
        <v>58503</v>
      </c>
      <c r="I90" s="152">
        <f t="shared" si="17"/>
        <v>8307426</v>
      </c>
      <c r="J90" s="148" t="str">
        <f t="shared" si="13"/>
        <v>OK</v>
      </c>
      <c r="K90" s="213">
        <v>58503</v>
      </c>
      <c r="L90" s="152">
        <f t="shared" si="14"/>
        <v>8307426</v>
      </c>
      <c r="M90" s="148" t="str">
        <f t="shared" si="15"/>
        <v>OK</v>
      </c>
    </row>
    <row r="91" spans="1:13" ht="24" x14ac:dyDescent="0.25">
      <c r="A91" s="210" t="s">
        <v>568</v>
      </c>
      <c r="B91" s="210"/>
      <c r="C91" s="211" t="s">
        <v>569</v>
      </c>
      <c r="D91" s="210" t="s">
        <v>88</v>
      </c>
      <c r="E91" s="321">
        <v>48</v>
      </c>
      <c r="F91" s="214">
        <v>34989</v>
      </c>
      <c r="G91" s="214">
        <f t="shared" si="20"/>
        <v>1679472</v>
      </c>
      <c r="H91" s="214">
        <v>34989</v>
      </c>
      <c r="I91" s="152">
        <f t="shared" si="17"/>
        <v>1679472</v>
      </c>
      <c r="J91" s="148" t="str">
        <f t="shared" si="13"/>
        <v>OK</v>
      </c>
      <c r="K91" s="214">
        <v>34989</v>
      </c>
      <c r="L91" s="152">
        <f t="shared" si="14"/>
        <v>1679472</v>
      </c>
      <c r="M91" s="148" t="str">
        <f t="shared" si="15"/>
        <v>OK</v>
      </c>
    </row>
    <row r="92" spans="1:13" ht="15" x14ac:dyDescent="0.25">
      <c r="A92" s="210" t="s">
        <v>570</v>
      </c>
      <c r="B92" s="210"/>
      <c r="C92" s="211" t="s">
        <v>571</v>
      </c>
      <c r="D92" s="210" t="s">
        <v>88</v>
      </c>
      <c r="E92" s="321">
        <v>48</v>
      </c>
      <c r="F92" s="214">
        <v>59388</v>
      </c>
      <c r="G92" s="214">
        <f t="shared" si="20"/>
        <v>2850624</v>
      </c>
      <c r="H92" s="214">
        <v>59388</v>
      </c>
      <c r="I92" s="152">
        <f t="shared" si="17"/>
        <v>2850624</v>
      </c>
      <c r="J92" s="148" t="str">
        <f t="shared" si="13"/>
        <v>OK</v>
      </c>
      <c r="K92" s="214">
        <v>59388</v>
      </c>
      <c r="L92" s="152">
        <f t="shared" si="14"/>
        <v>2850624</v>
      </c>
      <c r="M92" s="148" t="str">
        <f t="shared" si="15"/>
        <v>OK</v>
      </c>
    </row>
    <row r="93" spans="1:13" ht="15" x14ac:dyDescent="0.25">
      <c r="A93" s="210" t="s">
        <v>572</v>
      </c>
      <c r="B93" s="210"/>
      <c r="C93" s="211" t="s">
        <v>573</v>
      </c>
      <c r="D93" s="210" t="s">
        <v>574</v>
      </c>
      <c r="E93" s="321">
        <v>1</v>
      </c>
      <c r="F93" s="213">
        <v>519750</v>
      </c>
      <c r="G93" s="213">
        <f t="shared" si="20"/>
        <v>519750</v>
      </c>
      <c r="H93" s="213">
        <v>519750</v>
      </c>
      <c r="I93" s="152">
        <f t="shared" si="17"/>
        <v>519750</v>
      </c>
      <c r="J93" s="148" t="str">
        <f t="shared" si="13"/>
        <v>OK</v>
      </c>
      <c r="K93" s="213">
        <v>519750</v>
      </c>
      <c r="L93" s="152">
        <f t="shared" si="14"/>
        <v>519750</v>
      </c>
      <c r="M93" s="148" t="str">
        <f t="shared" si="15"/>
        <v>OK</v>
      </c>
    </row>
    <row r="94" spans="1:13" ht="15" x14ac:dyDescent="0.25">
      <c r="A94" s="216"/>
      <c r="B94" s="216"/>
      <c r="C94" s="215" t="s">
        <v>575</v>
      </c>
      <c r="D94" s="216"/>
      <c r="E94" s="322"/>
      <c r="F94" s="218"/>
      <c r="G94" s="218">
        <f>SUM(G90:G93)</f>
        <v>13357272</v>
      </c>
      <c r="H94" s="152"/>
      <c r="I94" s="218">
        <f>SUM(I90:I93)</f>
        <v>13357272</v>
      </c>
      <c r="J94" s="148" t="str">
        <f t="shared" si="13"/>
        <v>OK</v>
      </c>
      <c r="K94" s="209"/>
      <c r="L94" s="221">
        <f>SUM(L90:L93)</f>
        <v>13357272</v>
      </c>
      <c r="M94" s="148" t="str">
        <f t="shared" si="15"/>
        <v>OK</v>
      </c>
    </row>
    <row r="95" spans="1:13" ht="15" x14ac:dyDescent="0.25">
      <c r="A95" s="205" t="s">
        <v>576</v>
      </c>
      <c r="B95" s="205"/>
      <c r="C95" s="222" t="s">
        <v>250</v>
      </c>
      <c r="D95" s="223"/>
      <c r="E95" s="325"/>
      <c r="F95" s="223"/>
      <c r="G95" s="224"/>
      <c r="H95" s="223"/>
      <c r="I95" s="225">
        <f t="shared" si="17"/>
        <v>0</v>
      </c>
      <c r="J95" s="226" t="str">
        <f t="shared" si="13"/>
        <v>OK</v>
      </c>
      <c r="K95" s="223"/>
      <c r="L95" s="225">
        <f t="shared" si="14"/>
        <v>0</v>
      </c>
      <c r="M95" s="226" t="str">
        <f t="shared" si="15"/>
        <v>OK</v>
      </c>
    </row>
    <row r="96" spans="1:13" ht="15" x14ac:dyDescent="0.25">
      <c r="A96" s="227">
        <v>14.1</v>
      </c>
      <c r="B96" s="227"/>
      <c r="C96" s="228" t="s">
        <v>577</v>
      </c>
      <c r="D96" s="229"/>
      <c r="E96" s="326"/>
      <c r="F96" s="229"/>
      <c r="G96" s="230"/>
      <c r="H96" s="229"/>
      <c r="I96" s="225">
        <f t="shared" si="17"/>
        <v>0</v>
      </c>
      <c r="J96" s="226" t="str">
        <f t="shared" si="13"/>
        <v>OK</v>
      </c>
      <c r="K96" s="229"/>
      <c r="L96" s="225">
        <f t="shared" si="14"/>
        <v>0</v>
      </c>
      <c r="M96" s="226" t="str">
        <f t="shared" si="15"/>
        <v>OK</v>
      </c>
    </row>
    <row r="97" spans="1:13" ht="24" x14ac:dyDescent="0.25">
      <c r="A97" s="210" t="s">
        <v>578</v>
      </c>
      <c r="B97" s="210"/>
      <c r="C97" s="211" t="s">
        <v>579</v>
      </c>
      <c r="D97" s="210" t="s">
        <v>88</v>
      </c>
      <c r="E97" s="321">
        <v>80</v>
      </c>
      <c r="F97" s="213">
        <v>272036</v>
      </c>
      <c r="G97" s="213">
        <f t="shared" ref="G97:G119" si="21">+ROUND(F97*E97,0)</f>
        <v>21762880</v>
      </c>
      <c r="H97" s="213">
        <v>272036</v>
      </c>
      <c r="I97" s="152">
        <f t="shared" si="17"/>
        <v>21762880</v>
      </c>
      <c r="J97" s="226" t="str">
        <f t="shared" si="13"/>
        <v>OK</v>
      </c>
      <c r="K97" s="213">
        <v>272036</v>
      </c>
      <c r="L97" s="152">
        <f t="shared" si="14"/>
        <v>21762880</v>
      </c>
      <c r="M97" s="226" t="str">
        <f t="shared" si="15"/>
        <v>OK</v>
      </c>
    </row>
    <row r="98" spans="1:13" ht="24" x14ac:dyDescent="0.25">
      <c r="A98" s="210" t="s">
        <v>580</v>
      </c>
      <c r="B98" s="210"/>
      <c r="C98" s="211" t="s">
        <v>581</v>
      </c>
      <c r="D98" s="210" t="s">
        <v>2</v>
      </c>
      <c r="E98" s="321">
        <v>1</v>
      </c>
      <c r="F98" s="213">
        <v>209266</v>
      </c>
      <c r="G98" s="213">
        <f t="shared" si="21"/>
        <v>209266</v>
      </c>
      <c r="H98" s="213">
        <v>209266</v>
      </c>
      <c r="I98" s="152">
        <f t="shared" si="17"/>
        <v>209266</v>
      </c>
      <c r="J98" s="226" t="str">
        <f t="shared" si="13"/>
        <v>OK</v>
      </c>
      <c r="K98" s="213">
        <v>209266</v>
      </c>
      <c r="L98" s="152">
        <f t="shared" si="14"/>
        <v>209266</v>
      </c>
      <c r="M98" s="226" t="str">
        <f t="shared" si="15"/>
        <v>OK</v>
      </c>
    </row>
    <row r="99" spans="1:13" ht="96" x14ac:dyDescent="0.25">
      <c r="A99" s="210" t="s">
        <v>582</v>
      </c>
      <c r="B99" s="210"/>
      <c r="C99" s="211" t="s">
        <v>583</v>
      </c>
      <c r="D99" s="210" t="s">
        <v>2</v>
      </c>
      <c r="E99" s="321">
        <v>1</v>
      </c>
      <c r="F99" s="213">
        <v>8273570</v>
      </c>
      <c r="G99" s="213">
        <f t="shared" si="21"/>
        <v>8273570</v>
      </c>
      <c r="H99" s="213">
        <v>8273570</v>
      </c>
      <c r="I99" s="152">
        <f t="shared" si="17"/>
        <v>8273570</v>
      </c>
      <c r="J99" s="226" t="str">
        <f t="shared" si="13"/>
        <v>OK</v>
      </c>
      <c r="K99" s="213">
        <v>8273570</v>
      </c>
      <c r="L99" s="152">
        <f t="shared" si="14"/>
        <v>8273570</v>
      </c>
      <c r="M99" s="226" t="str">
        <f t="shared" si="15"/>
        <v>OK</v>
      </c>
    </row>
    <row r="100" spans="1:13" ht="15" x14ac:dyDescent="0.25">
      <c r="A100" s="210" t="s">
        <v>584</v>
      </c>
      <c r="B100" s="210"/>
      <c r="C100" s="211" t="s">
        <v>585</v>
      </c>
      <c r="D100" s="210" t="s">
        <v>2</v>
      </c>
      <c r="E100" s="321">
        <v>1</v>
      </c>
      <c r="F100" s="213">
        <v>304766</v>
      </c>
      <c r="G100" s="213">
        <f t="shared" si="21"/>
        <v>304766</v>
      </c>
      <c r="H100" s="213">
        <v>304766</v>
      </c>
      <c r="I100" s="152">
        <f t="shared" si="17"/>
        <v>304766</v>
      </c>
      <c r="J100" s="226" t="str">
        <f t="shared" si="13"/>
        <v>OK</v>
      </c>
      <c r="K100" s="213">
        <v>304766</v>
      </c>
      <c r="L100" s="152">
        <f t="shared" si="14"/>
        <v>304766</v>
      </c>
      <c r="M100" s="226" t="str">
        <f t="shared" si="15"/>
        <v>OK</v>
      </c>
    </row>
    <row r="101" spans="1:13" ht="15" x14ac:dyDescent="0.25">
      <c r="A101" s="210" t="s">
        <v>586</v>
      </c>
      <c r="B101" s="210"/>
      <c r="C101" s="211" t="s">
        <v>587</v>
      </c>
      <c r="D101" s="210" t="s">
        <v>2</v>
      </c>
      <c r="E101" s="321">
        <v>2</v>
      </c>
      <c r="F101" s="213">
        <v>415066</v>
      </c>
      <c r="G101" s="213">
        <f t="shared" si="21"/>
        <v>830132</v>
      </c>
      <c r="H101" s="213">
        <v>415066</v>
      </c>
      <c r="I101" s="152">
        <f t="shared" si="17"/>
        <v>830132</v>
      </c>
      <c r="J101" s="226" t="str">
        <f t="shared" si="13"/>
        <v>OK</v>
      </c>
      <c r="K101" s="213">
        <v>415066</v>
      </c>
      <c r="L101" s="152">
        <f t="shared" si="14"/>
        <v>830132</v>
      </c>
      <c r="M101" s="226" t="str">
        <f t="shared" si="15"/>
        <v>OK</v>
      </c>
    </row>
    <row r="102" spans="1:13" ht="15" x14ac:dyDescent="0.25">
      <c r="A102" s="210" t="s">
        <v>588</v>
      </c>
      <c r="B102" s="210"/>
      <c r="C102" s="211" t="s">
        <v>589</v>
      </c>
      <c r="D102" s="210" t="s">
        <v>2</v>
      </c>
      <c r="E102" s="321">
        <v>2</v>
      </c>
      <c r="F102" s="213">
        <v>288366</v>
      </c>
      <c r="G102" s="213">
        <f t="shared" si="21"/>
        <v>576732</v>
      </c>
      <c r="H102" s="213">
        <v>288366</v>
      </c>
      <c r="I102" s="152">
        <f t="shared" si="17"/>
        <v>576732</v>
      </c>
      <c r="J102" s="226" t="str">
        <f t="shared" si="13"/>
        <v>OK</v>
      </c>
      <c r="K102" s="213">
        <v>288366</v>
      </c>
      <c r="L102" s="152">
        <f t="shared" si="14"/>
        <v>576732</v>
      </c>
      <c r="M102" s="226" t="str">
        <f t="shared" si="15"/>
        <v>OK</v>
      </c>
    </row>
    <row r="103" spans="1:13" ht="15" x14ac:dyDescent="0.25">
      <c r="A103" s="210" t="s">
        <v>590</v>
      </c>
      <c r="B103" s="210"/>
      <c r="C103" s="211" t="s">
        <v>591</v>
      </c>
      <c r="D103" s="210" t="s">
        <v>2</v>
      </c>
      <c r="E103" s="321">
        <v>1</v>
      </c>
      <c r="F103" s="213">
        <v>385366</v>
      </c>
      <c r="G103" s="213">
        <f t="shared" si="21"/>
        <v>385366</v>
      </c>
      <c r="H103" s="213">
        <v>385366</v>
      </c>
      <c r="I103" s="152">
        <f t="shared" si="17"/>
        <v>385366</v>
      </c>
      <c r="J103" s="226" t="str">
        <f t="shared" si="13"/>
        <v>OK</v>
      </c>
      <c r="K103" s="213">
        <v>385366</v>
      </c>
      <c r="L103" s="152">
        <f t="shared" si="14"/>
        <v>385366</v>
      </c>
      <c r="M103" s="226" t="str">
        <f t="shared" si="15"/>
        <v>OK</v>
      </c>
    </row>
    <row r="104" spans="1:13" ht="15" x14ac:dyDescent="0.25">
      <c r="A104" s="210" t="s">
        <v>592</v>
      </c>
      <c r="B104" s="210"/>
      <c r="C104" s="211" t="s">
        <v>593</v>
      </c>
      <c r="D104" s="231" t="s">
        <v>2</v>
      </c>
      <c r="E104" s="327">
        <v>1</v>
      </c>
      <c r="F104" s="232">
        <v>119410</v>
      </c>
      <c r="G104" s="232">
        <f t="shared" si="21"/>
        <v>119410</v>
      </c>
      <c r="H104" s="232">
        <v>119410</v>
      </c>
      <c r="I104" s="233">
        <f t="shared" si="17"/>
        <v>119410</v>
      </c>
      <c r="J104" s="234" t="str">
        <f t="shared" si="13"/>
        <v>OK</v>
      </c>
      <c r="K104" s="232">
        <v>119410</v>
      </c>
      <c r="L104" s="233">
        <f t="shared" si="14"/>
        <v>119410</v>
      </c>
      <c r="M104" s="234" t="str">
        <f t="shared" si="15"/>
        <v>OK</v>
      </c>
    </row>
    <row r="105" spans="1:13" ht="15" x14ac:dyDescent="0.25">
      <c r="A105" s="235" t="s">
        <v>594</v>
      </c>
      <c r="B105" s="236"/>
      <c r="C105" s="237" t="s">
        <v>595</v>
      </c>
      <c r="D105" s="238" t="s">
        <v>2</v>
      </c>
      <c r="E105" s="328">
        <v>6</v>
      </c>
      <c r="F105" s="239">
        <v>91285</v>
      </c>
      <c r="G105" s="239">
        <f t="shared" si="21"/>
        <v>547710</v>
      </c>
      <c r="H105" s="239">
        <v>91285</v>
      </c>
      <c r="I105" s="240">
        <f t="shared" si="17"/>
        <v>547710</v>
      </c>
      <c r="J105" s="241" t="str">
        <f t="shared" si="13"/>
        <v>OK</v>
      </c>
      <c r="K105" s="242">
        <v>91285</v>
      </c>
      <c r="L105" s="243">
        <f t="shared" si="14"/>
        <v>547710</v>
      </c>
      <c r="M105" s="244" t="str">
        <f t="shared" si="15"/>
        <v>OK</v>
      </c>
    </row>
    <row r="106" spans="1:13" ht="24" x14ac:dyDescent="0.25">
      <c r="A106" s="245" t="s">
        <v>596</v>
      </c>
      <c r="B106" s="246"/>
      <c r="C106" s="237" t="s">
        <v>597</v>
      </c>
      <c r="D106" s="247" t="s">
        <v>2</v>
      </c>
      <c r="E106" s="329">
        <v>12</v>
      </c>
      <c r="F106" s="248">
        <v>35406</v>
      </c>
      <c r="G106" s="248">
        <f t="shared" si="21"/>
        <v>424872</v>
      </c>
      <c r="H106" s="248">
        <v>35406</v>
      </c>
      <c r="I106" s="233">
        <f t="shared" si="17"/>
        <v>424872</v>
      </c>
      <c r="J106" s="234" t="str">
        <f t="shared" si="13"/>
        <v>OK</v>
      </c>
      <c r="K106" s="249">
        <v>35406</v>
      </c>
      <c r="L106" s="152">
        <f t="shared" si="14"/>
        <v>424872</v>
      </c>
      <c r="M106" s="234" t="str">
        <f t="shared" si="15"/>
        <v>OK</v>
      </c>
    </row>
    <row r="107" spans="1:13" ht="24" x14ac:dyDescent="0.25">
      <c r="A107" s="250" t="s">
        <v>598</v>
      </c>
      <c r="B107" s="251"/>
      <c r="C107" s="211" t="s">
        <v>599</v>
      </c>
      <c r="D107" s="252" t="s">
        <v>2</v>
      </c>
      <c r="E107" s="330">
        <v>53</v>
      </c>
      <c r="F107" s="249">
        <v>21880</v>
      </c>
      <c r="G107" s="249">
        <f t="shared" si="21"/>
        <v>1159640</v>
      </c>
      <c r="H107" s="249">
        <v>21880</v>
      </c>
      <c r="I107" s="152">
        <f t="shared" si="17"/>
        <v>1159640</v>
      </c>
      <c r="J107" s="234" t="str">
        <f t="shared" si="13"/>
        <v>OK</v>
      </c>
      <c r="K107" s="249">
        <v>21880</v>
      </c>
      <c r="L107" s="152">
        <f t="shared" si="14"/>
        <v>1159640</v>
      </c>
      <c r="M107" s="234" t="str">
        <f t="shared" si="15"/>
        <v>OK</v>
      </c>
    </row>
    <row r="108" spans="1:13" ht="15" x14ac:dyDescent="0.25">
      <c r="A108" s="235" t="s">
        <v>600</v>
      </c>
      <c r="B108" s="236"/>
      <c r="C108" s="237" t="s">
        <v>601</v>
      </c>
      <c r="D108" s="235" t="s">
        <v>2</v>
      </c>
      <c r="E108" s="331">
        <v>1</v>
      </c>
      <c r="F108" s="253">
        <v>521220</v>
      </c>
      <c r="G108" s="253">
        <f t="shared" si="21"/>
        <v>521220</v>
      </c>
      <c r="H108" s="253">
        <v>521220</v>
      </c>
      <c r="I108" s="233">
        <f t="shared" si="17"/>
        <v>521220</v>
      </c>
      <c r="J108" s="234" t="str">
        <f t="shared" si="13"/>
        <v>OK</v>
      </c>
      <c r="K108" s="253">
        <v>521220</v>
      </c>
      <c r="L108" s="233">
        <f t="shared" si="14"/>
        <v>521220</v>
      </c>
      <c r="M108" s="234" t="str">
        <f t="shared" si="15"/>
        <v>OK</v>
      </c>
    </row>
    <row r="109" spans="1:13" ht="15" x14ac:dyDescent="0.25">
      <c r="A109" s="210" t="s">
        <v>602</v>
      </c>
      <c r="B109" s="210"/>
      <c r="C109" s="211" t="s">
        <v>603</v>
      </c>
      <c r="D109" s="231" t="s">
        <v>2</v>
      </c>
      <c r="E109" s="327">
        <v>1</v>
      </c>
      <c r="F109" s="232">
        <v>421220</v>
      </c>
      <c r="G109" s="232">
        <f t="shared" si="21"/>
        <v>421220</v>
      </c>
      <c r="H109" s="232">
        <v>421220</v>
      </c>
      <c r="I109" s="254">
        <f t="shared" si="17"/>
        <v>421220</v>
      </c>
      <c r="J109" s="255" t="str">
        <f t="shared" si="13"/>
        <v>OK</v>
      </c>
      <c r="K109" s="232">
        <v>421220</v>
      </c>
      <c r="L109" s="254">
        <f t="shared" si="14"/>
        <v>421220</v>
      </c>
      <c r="M109" s="255" t="str">
        <f t="shared" si="15"/>
        <v>OK</v>
      </c>
    </row>
    <row r="110" spans="1:13" ht="24" x14ac:dyDescent="0.25">
      <c r="A110" s="235" t="s">
        <v>604</v>
      </c>
      <c r="B110" s="236"/>
      <c r="C110" s="256" t="s">
        <v>605</v>
      </c>
      <c r="D110" s="235" t="s">
        <v>88</v>
      </c>
      <c r="E110" s="331">
        <v>4</v>
      </c>
      <c r="F110" s="253">
        <v>58315</v>
      </c>
      <c r="G110" s="253">
        <f t="shared" si="21"/>
        <v>233260</v>
      </c>
      <c r="H110" s="253">
        <v>58315</v>
      </c>
      <c r="I110" s="254">
        <f t="shared" si="17"/>
        <v>233260</v>
      </c>
      <c r="J110" s="255" t="str">
        <f t="shared" si="13"/>
        <v>OK</v>
      </c>
      <c r="K110" s="253">
        <v>58315</v>
      </c>
      <c r="L110" s="254">
        <f t="shared" si="14"/>
        <v>233260</v>
      </c>
      <c r="M110" s="255" t="str">
        <f t="shared" si="15"/>
        <v>OK</v>
      </c>
    </row>
    <row r="111" spans="1:13" ht="24" x14ac:dyDescent="0.25">
      <c r="A111" s="257" t="s">
        <v>606</v>
      </c>
      <c r="B111" s="258"/>
      <c r="C111" s="211" t="s">
        <v>607</v>
      </c>
      <c r="D111" s="259" t="s">
        <v>88</v>
      </c>
      <c r="E111" s="332">
        <v>4</v>
      </c>
      <c r="F111" s="260">
        <v>52825</v>
      </c>
      <c r="G111" s="260">
        <f t="shared" si="21"/>
        <v>211300</v>
      </c>
      <c r="H111" s="260">
        <v>52825</v>
      </c>
      <c r="I111" s="152">
        <f t="shared" si="17"/>
        <v>211300</v>
      </c>
      <c r="J111" s="255" t="str">
        <f t="shared" si="13"/>
        <v>OK</v>
      </c>
      <c r="K111" s="260">
        <v>52825</v>
      </c>
      <c r="L111" s="152">
        <f t="shared" si="14"/>
        <v>211300</v>
      </c>
      <c r="M111" s="255" t="str">
        <f t="shared" si="15"/>
        <v>OK</v>
      </c>
    </row>
    <row r="112" spans="1:13" ht="15" x14ac:dyDescent="0.25">
      <c r="A112" s="257" t="s">
        <v>608</v>
      </c>
      <c r="B112" s="258"/>
      <c r="C112" s="211" t="s">
        <v>609</v>
      </c>
      <c r="D112" s="259" t="s">
        <v>88</v>
      </c>
      <c r="E112" s="332">
        <v>12</v>
      </c>
      <c r="F112" s="260">
        <v>54731</v>
      </c>
      <c r="G112" s="260">
        <f t="shared" si="21"/>
        <v>656772</v>
      </c>
      <c r="H112" s="260">
        <v>54731</v>
      </c>
      <c r="I112" s="152">
        <f t="shared" si="17"/>
        <v>656772</v>
      </c>
      <c r="J112" s="255" t="str">
        <f t="shared" si="13"/>
        <v>OK</v>
      </c>
      <c r="K112" s="260">
        <v>54731</v>
      </c>
      <c r="L112" s="152">
        <f t="shared" si="14"/>
        <v>656772</v>
      </c>
      <c r="M112" s="255" t="str">
        <f t="shared" si="15"/>
        <v>OK</v>
      </c>
    </row>
    <row r="113" spans="1:13" ht="15" x14ac:dyDescent="0.25">
      <c r="A113" s="235" t="s">
        <v>610</v>
      </c>
      <c r="B113" s="236"/>
      <c r="C113" s="256" t="s">
        <v>611</v>
      </c>
      <c r="D113" s="235" t="s">
        <v>88</v>
      </c>
      <c r="E113" s="331">
        <v>4</v>
      </c>
      <c r="F113" s="253">
        <v>100456</v>
      </c>
      <c r="G113" s="253">
        <f t="shared" si="21"/>
        <v>401824</v>
      </c>
      <c r="H113" s="253">
        <v>100456</v>
      </c>
      <c r="I113" s="254">
        <f t="shared" si="17"/>
        <v>401824</v>
      </c>
      <c r="J113" s="255" t="str">
        <f t="shared" si="13"/>
        <v>OK</v>
      </c>
      <c r="K113" s="253">
        <v>100456</v>
      </c>
      <c r="L113" s="254">
        <f t="shared" si="14"/>
        <v>401824</v>
      </c>
      <c r="M113" s="255" t="str">
        <f t="shared" si="15"/>
        <v>OK</v>
      </c>
    </row>
    <row r="114" spans="1:13" ht="15" x14ac:dyDescent="0.25">
      <c r="A114" s="257" t="s">
        <v>612</v>
      </c>
      <c r="B114" s="258"/>
      <c r="C114" s="211" t="s">
        <v>613</v>
      </c>
      <c r="D114" s="259" t="s">
        <v>88</v>
      </c>
      <c r="E114" s="332">
        <v>4</v>
      </c>
      <c r="F114" s="260">
        <v>76488</v>
      </c>
      <c r="G114" s="260">
        <f t="shared" si="21"/>
        <v>305952</v>
      </c>
      <c r="H114" s="260">
        <v>76488</v>
      </c>
      <c r="I114" s="152">
        <f t="shared" si="17"/>
        <v>305952</v>
      </c>
      <c r="J114" s="255" t="str">
        <f t="shared" si="13"/>
        <v>OK</v>
      </c>
      <c r="K114" s="260">
        <v>76488</v>
      </c>
      <c r="L114" s="152">
        <f t="shared" si="14"/>
        <v>305952</v>
      </c>
      <c r="M114" s="255" t="str">
        <f t="shared" si="15"/>
        <v>OK</v>
      </c>
    </row>
    <row r="115" spans="1:13" ht="24" x14ac:dyDescent="0.25">
      <c r="A115" s="235" t="s">
        <v>614</v>
      </c>
      <c r="B115" s="236"/>
      <c r="C115" s="256" t="s">
        <v>615</v>
      </c>
      <c r="D115" s="235" t="s">
        <v>88</v>
      </c>
      <c r="E115" s="331">
        <v>40</v>
      </c>
      <c r="F115" s="253">
        <v>47834</v>
      </c>
      <c r="G115" s="253">
        <f t="shared" si="21"/>
        <v>1913360</v>
      </c>
      <c r="H115" s="253">
        <v>47834</v>
      </c>
      <c r="I115" s="254">
        <f t="shared" si="17"/>
        <v>1913360</v>
      </c>
      <c r="J115" s="255" t="str">
        <f t="shared" si="13"/>
        <v>OK</v>
      </c>
      <c r="K115" s="253">
        <v>47834</v>
      </c>
      <c r="L115" s="254">
        <f t="shared" si="14"/>
        <v>1913360</v>
      </c>
      <c r="M115" s="255" t="str">
        <f t="shared" si="15"/>
        <v>OK</v>
      </c>
    </row>
    <row r="116" spans="1:13" ht="24" x14ac:dyDescent="0.25">
      <c r="A116" s="257" t="s">
        <v>616</v>
      </c>
      <c r="B116" s="258"/>
      <c r="C116" s="211" t="s">
        <v>617</v>
      </c>
      <c r="D116" s="259" t="s">
        <v>2</v>
      </c>
      <c r="E116" s="332">
        <v>20</v>
      </c>
      <c r="F116" s="260">
        <v>162657</v>
      </c>
      <c r="G116" s="260">
        <f t="shared" si="21"/>
        <v>3253140</v>
      </c>
      <c r="H116" s="260">
        <v>162657</v>
      </c>
      <c r="I116" s="152">
        <f t="shared" si="17"/>
        <v>3253140</v>
      </c>
      <c r="J116" s="255" t="str">
        <f t="shared" si="13"/>
        <v>OK</v>
      </c>
      <c r="K116" s="260">
        <v>162657</v>
      </c>
      <c r="L116" s="152">
        <f t="shared" si="14"/>
        <v>3253140</v>
      </c>
      <c r="M116" s="255" t="str">
        <f t="shared" si="15"/>
        <v>OK</v>
      </c>
    </row>
    <row r="117" spans="1:13" ht="15" x14ac:dyDescent="0.25">
      <c r="A117" s="235" t="s">
        <v>618</v>
      </c>
      <c r="B117" s="236"/>
      <c r="C117" s="256" t="s">
        <v>619</v>
      </c>
      <c r="D117" s="235" t="s">
        <v>88</v>
      </c>
      <c r="E117" s="331">
        <v>20</v>
      </c>
      <c r="F117" s="253">
        <v>147515</v>
      </c>
      <c r="G117" s="253">
        <f t="shared" si="21"/>
        <v>2950300</v>
      </c>
      <c r="H117" s="253">
        <v>147515</v>
      </c>
      <c r="I117" s="254">
        <f t="shared" si="17"/>
        <v>2950300</v>
      </c>
      <c r="J117" s="255" t="str">
        <f t="shared" si="13"/>
        <v>OK</v>
      </c>
      <c r="K117" s="253">
        <v>147515</v>
      </c>
      <c r="L117" s="254">
        <f t="shared" si="14"/>
        <v>2950300</v>
      </c>
      <c r="M117" s="255" t="str">
        <f t="shared" si="15"/>
        <v>OK</v>
      </c>
    </row>
    <row r="118" spans="1:13" ht="24" x14ac:dyDescent="0.25">
      <c r="A118" s="257" t="s">
        <v>620</v>
      </c>
      <c r="B118" s="258"/>
      <c r="C118" s="211" t="s">
        <v>621</v>
      </c>
      <c r="D118" s="259" t="s">
        <v>88</v>
      </c>
      <c r="E118" s="332">
        <v>15</v>
      </c>
      <c r="F118" s="260">
        <v>55811</v>
      </c>
      <c r="G118" s="260">
        <f t="shared" si="21"/>
        <v>837165</v>
      </c>
      <c r="H118" s="260">
        <v>55811</v>
      </c>
      <c r="I118" s="152">
        <f t="shared" si="17"/>
        <v>837165</v>
      </c>
      <c r="J118" s="255" t="str">
        <f t="shared" si="13"/>
        <v>OK</v>
      </c>
      <c r="K118" s="260">
        <v>55811</v>
      </c>
      <c r="L118" s="152">
        <f t="shared" si="14"/>
        <v>837165</v>
      </c>
      <c r="M118" s="255" t="str">
        <f t="shared" si="15"/>
        <v>OK</v>
      </c>
    </row>
    <row r="119" spans="1:13" ht="15" x14ac:dyDescent="0.25">
      <c r="A119" s="261" t="s">
        <v>622</v>
      </c>
      <c r="B119" s="262"/>
      <c r="C119" s="211" t="s">
        <v>623</v>
      </c>
      <c r="D119" s="231" t="s">
        <v>2</v>
      </c>
      <c r="E119" s="327">
        <v>4</v>
      </c>
      <c r="F119" s="232">
        <v>147485</v>
      </c>
      <c r="G119" s="232">
        <f t="shared" si="21"/>
        <v>589940</v>
      </c>
      <c r="H119" s="232">
        <v>147485</v>
      </c>
      <c r="I119" s="254">
        <f t="shared" si="17"/>
        <v>589940</v>
      </c>
      <c r="J119" s="255" t="str">
        <f t="shared" si="13"/>
        <v>OK</v>
      </c>
      <c r="K119" s="232">
        <v>147485</v>
      </c>
      <c r="L119" s="254">
        <f t="shared" si="14"/>
        <v>589940</v>
      </c>
      <c r="M119" s="255" t="str">
        <f t="shared" si="15"/>
        <v>OK</v>
      </c>
    </row>
    <row r="120" spans="1:13" ht="15" x14ac:dyDescent="0.25">
      <c r="A120" s="263"/>
      <c r="B120" s="264"/>
      <c r="C120" s="265" t="s">
        <v>624</v>
      </c>
      <c r="D120" s="266"/>
      <c r="E120" s="333"/>
      <c r="F120" s="267"/>
      <c r="G120" s="267">
        <f>SUM(G97:G119)</f>
        <v>46889797</v>
      </c>
      <c r="H120" s="267"/>
      <c r="I120" s="267">
        <f>SUM(I97:I119)</f>
        <v>46889797</v>
      </c>
      <c r="J120" s="255" t="str">
        <f t="shared" si="13"/>
        <v>OK</v>
      </c>
      <c r="K120" s="267"/>
      <c r="L120" s="267">
        <f>SUM(L97:L119)</f>
        <v>46889797</v>
      </c>
      <c r="M120" s="255" t="str">
        <f t="shared" si="15"/>
        <v>OK</v>
      </c>
    </row>
    <row r="121" spans="1:13" ht="15" x14ac:dyDescent="0.25">
      <c r="A121" s="268" t="s">
        <v>625</v>
      </c>
      <c r="B121" s="268"/>
      <c r="C121" s="269" t="s">
        <v>626</v>
      </c>
      <c r="D121" s="270"/>
      <c r="E121" s="334"/>
      <c r="F121" s="270"/>
      <c r="G121" s="271"/>
      <c r="H121" s="270"/>
      <c r="I121" s="254">
        <f t="shared" si="17"/>
        <v>0</v>
      </c>
      <c r="J121" s="255" t="str">
        <f t="shared" si="13"/>
        <v>OK</v>
      </c>
      <c r="K121" s="272"/>
      <c r="L121" s="273">
        <f t="shared" si="14"/>
        <v>0</v>
      </c>
      <c r="M121" s="274" t="str">
        <f t="shared" si="15"/>
        <v>OK</v>
      </c>
    </row>
    <row r="122" spans="1:13" ht="60" x14ac:dyDescent="0.25">
      <c r="A122" s="210" t="s">
        <v>627</v>
      </c>
      <c r="B122" s="210"/>
      <c r="C122" s="211" t="s">
        <v>628</v>
      </c>
      <c r="D122" s="210" t="s">
        <v>2</v>
      </c>
      <c r="E122" s="321">
        <v>43</v>
      </c>
      <c r="F122" s="213">
        <v>90618</v>
      </c>
      <c r="G122" s="213">
        <f t="shared" ref="G122:G146" si="22">+ROUND(F122*E122,0)</f>
        <v>3896574</v>
      </c>
      <c r="H122" s="213">
        <v>90618</v>
      </c>
      <c r="I122" s="152">
        <f t="shared" si="17"/>
        <v>3896574</v>
      </c>
      <c r="J122" s="274" t="str">
        <f t="shared" si="13"/>
        <v>OK</v>
      </c>
      <c r="K122" s="213">
        <v>90618</v>
      </c>
      <c r="L122" s="152">
        <f t="shared" si="14"/>
        <v>3896574</v>
      </c>
      <c r="M122" s="274" t="str">
        <f t="shared" si="15"/>
        <v>OK</v>
      </c>
    </row>
    <row r="123" spans="1:13" ht="15" x14ac:dyDescent="0.25">
      <c r="A123" s="210" t="s">
        <v>629</v>
      </c>
      <c r="B123" s="210"/>
      <c r="C123" s="211" t="s">
        <v>630</v>
      </c>
      <c r="D123" s="210" t="s">
        <v>2</v>
      </c>
      <c r="E123" s="321">
        <v>5</v>
      </c>
      <c r="F123" s="213">
        <v>112122</v>
      </c>
      <c r="G123" s="213">
        <f t="shared" si="22"/>
        <v>560610</v>
      </c>
      <c r="H123" s="213">
        <v>112122</v>
      </c>
      <c r="I123" s="152">
        <f t="shared" si="17"/>
        <v>560610</v>
      </c>
      <c r="J123" s="274" t="str">
        <f t="shared" si="13"/>
        <v>OK</v>
      </c>
      <c r="K123" s="213">
        <v>112122</v>
      </c>
      <c r="L123" s="152">
        <f t="shared" si="14"/>
        <v>560610</v>
      </c>
      <c r="M123" s="274" t="str">
        <f t="shared" si="15"/>
        <v>OK</v>
      </c>
    </row>
    <row r="124" spans="1:13" ht="60" x14ac:dyDescent="0.25">
      <c r="A124" s="210" t="s">
        <v>631</v>
      </c>
      <c r="B124" s="210"/>
      <c r="C124" s="211" t="s">
        <v>632</v>
      </c>
      <c r="D124" s="210" t="s">
        <v>2</v>
      </c>
      <c r="E124" s="321">
        <v>5</v>
      </c>
      <c r="F124" s="213">
        <v>82463</v>
      </c>
      <c r="G124" s="213">
        <f t="shared" si="22"/>
        <v>412315</v>
      </c>
      <c r="H124" s="213">
        <v>82463</v>
      </c>
      <c r="I124" s="152">
        <f t="shared" si="17"/>
        <v>412315</v>
      </c>
      <c r="J124" s="274" t="str">
        <f t="shared" si="13"/>
        <v>OK</v>
      </c>
      <c r="K124" s="213">
        <v>82463</v>
      </c>
      <c r="L124" s="152">
        <f t="shared" si="14"/>
        <v>412315</v>
      </c>
      <c r="M124" s="274" t="str">
        <f t="shared" si="15"/>
        <v>OK</v>
      </c>
    </row>
    <row r="125" spans="1:13" ht="72" x14ac:dyDescent="0.25">
      <c r="A125" s="210" t="s">
        <v>633</v>
      </c>
      <c r="B125" s="210"/>
      <c r="C125" s="211" t="s">
        <v>634</v>
      </c>
      <c r="D125" s="210" t="s">
        <v>2</v>
      </c>
      <c r="E125" s="321">
        <v>5</v>
      </c>
      <c r="F125" s="213">
        <v>68376</v>
      </c>
      <c r="G125" s="213">
        <f t="shared" si="22"/>
        <v>341880</v>
      </c>
      <c r="H125" s="213">
        <v>68376</v>
      </c>
      <c r="I125" s="152">
        <f t="shared" si="17"/>
        <v>341880</v>
      </c>
      <c r="J125" s="274" t="str">
        <f t="shared" si="13"/>
        <v>OK</v>
      </c>
      <c r="K125" s="213">
        <v>68376</v>
      </c>
      <c r="L125" s="152">
        <f t="shared" si="14"/>
        <v>341880</v>
      </c>
      <c r="M125" s="274" t="str">
        <f t="shared" si="15"/>
        <v>OK</v>
      </c>
    </row>
    <row r="126" spans="1:13" ht="15" x14ac:dyDescent="0.25">
      <c r="A126" s="210" t="s">
        <v>635</v>
      </c>
      <c r="B126" s="210"/>
      <c r="C126" s="211" t="s">
        <v>636</v>
      </c>
      <c r="D126" s="210" t="s">
        <v>2</v>
      </c>
      <c r="E126" s="321">
        <v>4</v>
      </c>
      <c r="F126" s="213">
        <v>86130</v>
      </c>
      <c r="G126" s="213">
        <f t="shared" si="22"/>
        <v>344520</v>
      </c>
      <c r="H126" s="213">
        <v>86130</v>
      </c>
      <c r="I126" s="152">
        <f t="shared" si="17"/>
        <v>344520</v>
      </c>
      <c r="J126" s="274" t="str">
        <f t="shared" si="13"/>
        <v>OK</v>
      </c>
      <c r="K126" s="213">
        <v>86130</v>
      </c>
      <c r="L126" s="152">
        <f t="shared" si="14"/>
        <v>344520</v>
      </c>
      <c r="M126" s="274" t="str">
        <f t="shared" si="15"/>
        <v>OK</v>
      </c>
    </row>
    <row r="127" spans="1:13" ht="60" x14ac:dyDescent="0.25">
      <c r="A127" s="210" t="s">
        <v>637</v>
      </c>
      <c r="B127" s="210"/>
      <c r="C127" s="211" t="s">
        <v>638</v>
      </c>
      <c r="D127" s="210" t="s">
        <v>2</v>
      </c>
      <c r="E127" s="321">
        <v>62</v>
      </c>
      <c r="F127" s="213">
        <v>96095</v>
      </c>
      <c r="G127" s="213">
        <f t="shared" si="22"/>
        <v>5957890</v>
      </c>
      <c r="H127" s="213">
        <v>96095</v>
      </c>
      <c r="I127" s="152">
        <f t="shared" si="17"/>
        <v>5957890</v>
      </c>
      <c r="J127" s="274" t="str">
        <f t="shared" si="13"/>
        <v>OK</v>
      </c>
      <c r="K127" s="213">
        <v>96095</v>
      </c>
      <c r="L127" s="152">
        <f t="shared" si="14"/>
        <v>5957890</v>
      </c>
      <c r="M127" s="274" t="str">
        <f t="shared" si="15"/>
        <v>OK</v>
      </c>
    </row>
    <row r="128" spans="1:13" ht="24" x14ac:dyDescent="0.25">
      <c r="A128" s="210" t="s">
        <v>639</v>
      </c>
      <c r="B128" s="210"/>
      <c r="C128" s="211" t="s">
        <v>640</v>
      </c>
      <c r="D128" s="210" t="s">
        <v>2</v>
      </c>
      <c r="E128" s="321">
        <v>36</v>
      </c>
      <c r="F128" s="213">
        <v>164771</v>
      </c>
      <c r="G128" s="213">
        <f t="shared" si="22"/>
        <v>5931756</v>
      </c>
      <c r="H128" s="213">
        <v>164771</v>
      </c>
      <c r="I128" s="152">
        <f t="shared" si="17"/>
        <v>5931756</v>
      </c>
      <c r="J128" s="274" t="str">
        <f t="shared" si="13"/>
        <v>OK</v>
      </c>
      <c r="K128" s="213">
        <v>164771</v>
      </c>
      <c r="L128" s="152">
        <f t="shared" si="14"/>
        <v>5931756</v>
      </c>
      <c r="M128" s="274" t="str">
        <f t="shared" si="15"/>
        <v>OK</v>
      </c>
    </row>
    <row r="129" spans="1:13" ht="24" x14ac:dyDescent="0.25">
      <c r="A129" s="210" t="s">
        <v>641</v>
      </c>
      <c r="B129" s="210"/>
      <c r="C129" s="211" t="s">
        <v>642</v>
      </c>
      <c r="D129" s="210" t="s">
        <v>2</v>
      </c>
      <c r="E129" s="321">
        <v>2</v>
      </c>
      <c r="F129" s="213">
        <v>207295</v>
      </c>
      <c r="G129" s="213">
        <f t="shared" si="22"/>
        <v>414590</v>
      </c>
      <c r="H129" s="213">
        <v>207295</v>
      </c>
      <c r="I129" s="152">
        <f t="shared" si="17"/>
        <v>414590</v>
      </c>
      <c r="J129" s="274" t="str">
        <f t="shared" si="13"/>
        <v>OK</v>
      </c>
      <c r="K129" s="213">
        <v>207295</v>
      </c>
      <c r="L129" s="152">
        <f t="shared" si="14"/>
        <v>414590</v>
      </c>
      <c r="M129" s="274" t="str">
        <f t="shared" si="15"/>
        <v>OK</v>
      </c>
    </row>
    <row r="130" spans="1:13" ht="24" x14ac:dyDescent="0.25">
      <c r="A130" s="210" t="s">
        <v>643</v>
      </c>
      <c r="B130" s="210"/>
      <c r="C130" s="211" t="s">
        <v>644</v>
      </c>
      <c r="D130" s="210" t="s">
        <v>2</v>
      </c>
      <c r="E130" s="321">
        <v>4</v>
      </c>
      <c r="F130" s="213">
        <v>129873</v>
      </c>
      <c r="G130" s="213">
        <f t="shared" si="22"/>
        <v>519492</v>
      </c>
      <c r="H130" s="213">
        <v>129873</v>
      </c>
      <c r="I130" s="152">
        <f t="shared" si="17"/>
        <v>519492</v>
      </c>
      <c r="J130" s="274" t="str">
        <f t="shared" si="13"/>
        <v>OK</v>
      </c>
      <c r="K130" s="213">
        <v>129873</v>
      </c>
      <c r="L130" s="152">
        <f t="shared" si="14"/>
        <v>519492</v>
      </c>
      <c r="M130" s="274" t="str">
        <f t="shared" si="15"/>
        <v>OK</v>
      </c>
    </row>
    <row r="131" spans="1:13" ht="24" x14ac:dyDescent="0.25">
      <c r="A131" s="275" t="s">
        <v>627</v>
      </c>
      <c r="B131" s="275"/>
      <c r="C131" s="211" t="s">
        <v>645</v>
      </c>
      <c r="D131" s="210" t="s">
        <v>2</v>
      </c>
      <c r="E131" s="321">
        <v>2</v>
      </c>
      <c r="F131" s="213">
        <v>193954</v>
      </c>
      <c r="G131" s="213">
        <f t="shared" si="22"/>
        <v>387908</v>
      </c>
      <c r="H131" s="213">
        <v>193954</v>
      </c>
      <c r="I131" s="152">
        <f t="shared" si="17"/>
        <v>387908</v>
      </c>
      <c r="J131" s="274" t="str">
        <f t="shared" si="13"/>
        <v>OK</v>
      </c>
      <c r="K131" s="213">
        <v>193954</v>
      </c>
      <c r="L131" s="152">
        <f t="shared" si="14"/>
        <v>387908</v>
      </c>
      <c r="M131" s="274" t="str">
        <f t="shared" si="15"/>
        <v>OK</v>
      </c>
    </row>
    <row r="132" spans="1:13" ht="24" x14ac:dyDescent="0.25">
      <c r="A132" s="210" t="s">
        <v>646</v>
      </c>
      <c r="B132" s="210"/>
      <c r="C132" s="211" t="s">
        <v>647</v>
      </c>
      <c r="D132" s="210" t="s">
        <v>2</v>
      </c>
      <c r="E132" s="321">
        <v>36</v>
      </c>
      <c r="F132" s="213">
        <v>66087</v>
      </c>
      <c r="G132" s="213">
        <f t="shared" si="22"/>
        <v>2379132</v>
      </c>
      <c r="H132" s="213">
        <v>66087</v>
      </c>
      <c r="I132" s="152">
        <f t="shared" si="17"/>
        <v>2379132</v>
      </c>
      <c r="J132" s="274" t="str">
        <f t="shared" si="13"/>
        <v>OK</v>
      </c>
      <c r="K132" s="213">
        <v>66087</v>
      </c>
      <c r="L132" s="152">
        <f t="shared" si="14"/>
        <v>2379132</v>
      </c>
      <c r="M132" s="274" t="str">
        <f t="shared" si="15"/>
        <v>OK</v>
      </c>
    </row>
    <row r="133" spans="1:13" ht="24" x14ac:dyDescent="0.25">
      <c r="A133" s="210" t="s">
        <v>648</v>
      </c>
      <c r="B133" s="210"/>
      <c r="C133" s="211" t="s">
        <v>649</v>
      </c>
      <c r="D133" s="210" t="s">
        <v>2</v>
      </c>
      <c r="E133" s="321">
        <v>6</v>
      </c>
      <c r="F133" s="213">
        <v>77013</v>
      </c>
      <c r="G133" s="213">
        <f t="shared" si="22"/>
        <v>462078</v>
      </c>
      <c r="H133" s="213">
        <v>77013</v>
      </c>
      <c r="I133" s="152">
        <f t="shared" si="17"/>
        <v>462078</v>
      </c>
      <c r="J133" s="274" t="str">
        <f t="shared" si="13"/>
        <v>OK</v>
      </c>
      <c r="K133" s="213">
        <v>77013</v>
      </c>
      <c r="L133" s="152">
        <f t="shared" si="14"/>
        <v>462078</v>
      </c>
      <c r="M133" s="274" t="str">
        <f t="shared" si="15"/>
        <v>OK</v>
      </c>
    </row>
    <row r="134" spans="1:13" ht="24" x14ac:dyDescent="0.25">
      <c r="A134" s="210" t="s">
        <v>650</v>
      </c>
      <c r="B134" s="210"/>
      <c r="C134" s="211" t="s">
        <v>651</v>
      </c>
      <c r="D134" s="210" t="s">
        <v>2</v>
      </c>
      <c r="E134" s="321">
        <v>6</v>
      </c>
      <c r="F134" s="213">
        <v>111991</v>
      </c>
      <c r="G134" s="213">
        <f t="shared" si="22"/>
        <v>671946</v>
      </c>
      <c r="H134" s="213">
        <v>111991</v>
      </c>
      <c r="I134" s="152">
        <f t="shared" si="17"/>
        <v>671946</v>
      </c>
      <c r="J134" s="274" t="str">
        <f t="shared" si="13"/>
        <v>OK</v>
      </c>
      <c r="K134" s="213">
        <v>111991</v>
      </c>
      <c r="L134" s="152">
        <f t="shared" si="14"/>
        <v>671946</v>
      </c>
      <c r="M134" s="274" t="str">
        <f t="shared" si="15"/>
        <v>OK</v>
      </c>
    </row>
    <row r="135" spans="1:13" ht="24" x14ac:dyDescent="0.25">
      <c r="A135" s="210" t="s">
        <v>652</v>
      </c>
      <c r="B135" s="210"/>
      <c r="C135" s="211" t="s">
        <v>653</v>
      </c>
      <c r="D135" s="210" t="s">
        <v>2</v>
      </c>
      <c r="E135" s="321">
        <v>5</v>
      </c>
      <c r="F135" s="213">
        <v>206857</v>
      </c>
      <c r="G135" s="213">
        <f t="shared" si="22"/>
        <v>1034285</v>
      </c>
      <c r="H135" s="213">
        <v>206857</v>
      </c>
      <c r="I135" s="152">
        <f t="shared" si="17"/>
        <v>1034285</v>
      </c>
      <c r="J135" s="274" t="str">
        <f t="shared" si="13"/>
        <v>OK</v>
      </c>
      <c r="K135" s="213">
        <v>206857</v>
      </c>
      <c r="L135" s="152">
        <f t="shared" si="14"/>
        <v>1034285</v>
      </c>
      <c r="M135" s="274" t="str">
        <f t="shared" si="15"/>
        <v>OK</v>
      </c>
    </row>
    <row r="136" spans="1:13" ht="15" x14ac:dyDescent="0.25">
      <c r="A136" s="210" t="s">
        <v>654</v>
      </c>
      <c r="B136" s="210"/>
      <c r="C136" s="211" t="s">
        <v>655</v>
      </c>
      <c r="D136" s="210" t="s">
        <v>2</v>
      </c>
      <c r="E136" s="321">
        <v>7</v>
      </c>
      <c r="F136" s="213">
        <v>179904</v>
      </c>
      <c r="G136" s="213">
        <f t="shared" si="22"/>
        <v>1259328</v>
      </c>
      <c r="H136" s="213">
        <v>179904</v>
      </c>
      <c r="I136" s="152">
        <f t="shared" si="17"/>
        <v>1259328</v>
      </c>
      <c r="J136" s="274" t="str">
        <f t="shared" si="13"/>
        <v>OK</v>
      </c>
      <c r="K136" s="213">
        <v>179904</v>
      </c>
      <c r="L136" s="152">
        <f t="shared" si="14"/>
        <v>1259328</v>
      </c>
      <c r="M136" s="274" t="str">
        <f t="shared" si="15"/>
        <v>OK</v>
      </c>
    </row>
    <row r="137" spans="1:13" ht="15" x14ac:dyDescent="0.25">
      <c r="A137" s="210" t="s">
        <v>656</v>
      </c>
      <c r="B137" s="210"/>
      <c r="C137" s="211" t="s">
        <v>657</v>
      </c>
      <c r="D137" s="210" t="s">
        <v>2</v>
      </c>
      <c r="E137" s="321">
        <v>2</v>
      </c>
      <c r="F137" s="213">
        <v>242048</v>
      </c>
      <c r="G137" s="213">
        <f t="shared" si="22"/>
        <v>484096</v>
      </c>
      <c r="H137" s="213">
        <v>242048</v>
      </c>
      <c r="I137" s="152">
        <f t="shared" si="17"/>
        <v>484096</v>
      </c>
      <c r="J137" s="274" t="str">
        <f t="shared" ref="J137:J163" si="23">+IF(H137&lt;=$F137,"OK","NO OK")</f>
        <v>OK</v>
      </c>
      <c r="K137" s="213">
        <v>242048</v>
      </c>
      <c r="L137" s="152">
        <f t="shared" ref="L137:L160" si="24">ROUND($E137*K137,0)</f>
        <v>484096</v>
      </c>
      <c r="M137" s="274" t="str">
        <f t="shared" ref="M137:M163" si="25">+IF(K137&lt;=$F137,"OK","NO OK")</f>
        <v>OK</v>
      </c>
    </row>
    <row r="138" spans="1:13" ht="15" x14ac:dyDescent="0.25">
      <c r="A138" s="210" t="s">
        <v>658</v>
      </c>
      <c r="B138" s="210"/>
      <c r="C138" s="211" t="s">
        <v>659</v>
      </c>
      <c r="D138" s="210" t="s">
        <v>2</v>
      </c>
      <c r="E138" s="321">
        <v>2</v>
      </c>
      <c r="F138" s="213">
        <v>250816</v>
      </c>
      <c r="G138" s="213">
        <f t="shared" si="22"/>
        <v>501632</v>
      </c>
      <c r="H138" s="213">
        <v>250816</v>
      </c>
      <c r="I138" s="152">
        <f t="shared" ref="I138:I160" si="26">ROUND($E138*H138,0)</f>
        <v>501632</v>
      </c>
      <c r="J138" s="274" t="str">
        <f t="shared" si="23"/>
        <v>OK</v>
      </c>
      <c r="K138" s="213">
        <v>250816</v>
      </c>
      <c r="L138" s="152">
        <f t="shared" si="24"/>
        <v>501632</v>
      </c>
      <c r="M138" s="274" t="str">
        <f t="shared" si="25"/>
        <v>OK</v>
      </c>
    </row>
    <row r="139" spans="1:13" ht="15" x14ac:dyDescent="0.25">
      <c r="A139" s="210" t="s">
        <v>660</v>
      </c>
      <c r="B139" s="210"/>
      <c r="C139" s="211" t="s">
        <v>661</v>
      </c>
      <c r="D139" s="210" t="s">
        <v>2</v>
      </c>
      <c r="E139" s="321">
        <v>1</v>
      </c>
      <c r="F139" s="213">
        <v>458698</v>
      </c>
      <c r="G139" s="213">
        <f t="shared" si="22"/>
        <v>458698</v>
      </c>
      <c r="H139" s="213">
        <v>458698</v>
      </c>
      <c r="I139" s="152">
        <f t="shared" si="26"/>
        <v>458698</v>
      </c>
      <c r="J139" s="274" t="str">
        <f t="shared" si="23"/>
        <v>OK</v>
      </c>
      <c r="K139" s="213">
        <v>458698</v>
      </c>
      <c r="L139" s="152">
        <f t="shared" si="24"/>
        <v>458698</v>
      </c>
      <c r="M139" s="274" t="str">
        <f t="shared" si="25"/>
        <v>OK</v>
      </c>
    </row>
    <row r="140" spans="1:13" ht="36" x14ac:dyDescent="0.25">
      <c r="A140" s="210" t="s">
        <v>662</v>
      </c>
      <c r="B140" s="210"/>
      <c r="C140" s="211" t="s">
        <v>663</v>
      </c>
      <c r="D140" s="210" t="s">
        <v>2</v>
      </c>
      <c r="E140" s="321">
        <v>25</v>
      </c>
      <c r="F140" s="213">
        <v>402768</v>
      </c>
      <c r="G140" s="213">
        <f t="shared" si="22"/>
        <v>10069200</v>
      </c>
      <c r="H140" s="213">
        <v>402768</v>
      </c>
      <c r="I140" s="152">
        <f t="shared" si="26"/>
        <v>10069200</v>
      </c>
      <c r="J140" s="274" t="str">
        <f t="shared" si="23"/>
        <v>OK</v>
      </c>
      <c r="K140" s="213">
        <v>402768</v>
      </c>
      <c r="L140" s="152">
        <f t="shared" si="24"/>
        <v>10069200</v>
      </c>
      <c r="M140" s="274" t="str">
        <f t="shared" si="25"/>
        <v>OK</v>
      </c>
    </row>
    <row r="141" spans="1:13" ht="36" x14ac:dyDescent="0.25">
      <c r="A141" s="275" t="s">
        <v>664</v>
      </c>
      <c r="B141" s="275"/>
      <c r="C141" s="211" t="s">
        <v>665</v>
      </c>
      <c r="D141" s="210" t="s">
        <v>2</v>
      </c>
      <c r="E141" s="321">
        <v>13</v>
      </c>
      <c r="F141" s="213">
        <v>251409</v>
      </c>
      <c r="G141" s="213">
        <f t="shared" si="22"/>
        <v>3268317</v>
      </c>
      <c r="H141" s="213">
        <v>251409</v>
      </c>
      <c r="I141" s="152">
        <f t="shared" si="26"/>
        <v>3268317</v>
      </c>
      <c r="J141" s="274" t="str">
        <f t="shared" si="23"/>
        <v>OK</v>
      </c>
      <c r="K141" s="213">
        <v>251409</v>
      </c>
      <c r="L141" s="152">
        <f t="shared" si="24"/>
        <v>3268317</v>
      </c>
      <c r="M141" s="274" t="str">
        <f t="shared" si="25"/>
        <v>OK</v>
      </c>
    </row>
    <row r="142" spans="1:13" ht="24" x14ac:dyDescent="0.25">
      <c r="A142" s="210" t="s">
        <v>666</v>
      </c>
      <c r="B142" s="210"/>
      <c r="C142" s="211" t="s">
        <v>667</v>
      </c>
      <c r="D142" s="210" t="s">
        <v>2</v>
      </c>
      <c r="E142" s="321">
        <v>8</v>
      </c>
      <c r="F142" s="213">
        <v>251409</v>
      </c>
      <c r="G142" s="213">
        <f t="shared" si="22"/>
        <v>2011272</v>
      </c>
      <c r="H142" s="213">
        <v>251409</v>
      </c>
      <c r="I142" s="152">
        <f t="shared" si="26"/>
        <v>2011272</v>
      </c>
      <c r="J142" s="274" t="str">
        <f t="shared" si="23"/>
        <v>OK</v>
      </c>
      <c r="K142" s="213">
        <v>251409</v>
      </c>
      <c r="L142" s="152">
        <f t="shared" si="24"/>
        <v>2011272</v>
      </c>
      <c r="M142" s="274" t="str">
        <f t="shared" si="25"/>
        <v>OK</v>
      </c>
    </row>
    <row r="143" spans="1:13" ht="24" x14ac:dyDescent="0.25">
      <c r="A143" s="210" t="s">
        <v>668</v>
      </c>
      <c r="B143" s="210"/>
      <c r="C143" s="211" t="s">
        <v>669</v>
      </c>
      <c r="D143" s="210" t="s">
        <v>2</v>
      </c>
      <c r="E143" s="321">
        <v>2</v>
      </c>
      <c r="F143" s="213">
        <v>154409</v>
      </c>
      <c r="G143" s="213">
        <f t="shared" si="22"/>
        <v>308818</v>
      </c>
      <c r="H143" s="213">
        <v>154409</v>
      </c>
      <c r="I143" s="152">
        <f t="shared" si="26"/>
        <v>308818</v>
      </c>
      <c r="J143" s="274" t="str">
        <f t="shared" si="23"/>
        <v>OK</v>
      </c>
      <c r="K143" s="213">
        <v>154409</v>
      </c>
      <c r="L143" s="152">
        <f t="shared" si="24"/>
        <v>308818</v>
      </c>
      <c r="M143" s="274" t="str">
        <f t="shared" si="25"/>
        <v>OK</v>
      </c>
    </row>
    <row r="144" spans="1:13" ht="36" x14ac:dyDescent="0.25">
      <c r="A144" s="210" t="s">
        <v>670</v>
      </c>
      <c r="B144" s="210"/>
      <c r="C144" s="211" t="s">
        <v>671</v>
      </c>
      <c r="D144" s="210" t="s">
        <v>2</v>
      </c>
      <c r="E144" s="321">
        <v>7</v>
      </c>
      <c r="F144" s="213">
        <v>106394</v>
      </c>
      <c r="G144" s="213">
        <f t="shared" si="22"/>
        <v>744758</v>
      </c>
      <c r="H144" s="213">
        <v>106394</v>
      </c>
      <c r="I144" s="152">
        <f t="shared" si="26"/>
        <v>744758</v>
      </c>
      <c r="J144" s="274" t="str">
        <f t="shared" si="23"/>
        <v>OK</v>
      </c>
      <c r="K144" s="213">
        <v>106394</v>
      </c>
      <c r="L144" s="152">
        <f t="shared" si="24"/>
        <v>744758</v>
      </c>
      <c r="M144" s="274" t="str">
        <f t="shared" si="25"/>
        <v>OK</v>
      </c>
    </row>
    <row r="145" spans="1:13" ht="15" x14ac:dyDescent="0.25">
      <c r="A145" s="210" t="s">
        <v>672</v>
      </c>
      <c r="B145" s="210"/>
      <c r="C145" s="211" t="s">
        <v>673</v>
      </c>
      <c r="D145" s="210" t="s">
        <v>2</v>
      </c>
      <c r="E145" s="321">
        <v>3</v>
      </c>
      <c r="F145" s="213">
        <v>233503</v>
      </c>
      <c r="G145" s="213">
        <f t="shared" si="22"/>
        <v>700509</v>
      </c>
      <c r="H145" s="213">
        <v>233503</v>
      </c>
      <c r="I145" s="152">
        <f t="shared" si="26"/>
        <v>700509</v>
      </c>
      <c r="J145" s="274" t="str">
        <f t="shared" si="23"/>
        <v>OK</v>
      </c>
      <c r="K145" s="213">
        <v>233503</v>
      </c>
      <c r="L145" s="152">
        <f t="shared" si="24"/>
        <v>700509</v>
      </c>
      <c r="M145" s="274" t="str">
        <f t="shared" si="25"/>
        <v>OK</v>
      </c>
    </row>
    <row r="146" spans="1:13" ht="15" x14ac:dyDescent="0.25">
      <c r="A146" s="210" t="s">
        <v>674</v>
      </c>
      <c r="B146" s="210"/>
      <c r="C146" s="211" t="s">
        <v>675</v>
      </c>
      <c r="D146" s="210" t="s">
        <v>88</v>
      </c>
      <c r="E146" s="321">
        <v>100</v>
      </c>
      <c r="F146" s="213">
        <v>10266</v>
      </c>
      <c r="G146" s="213">
        <f t="shared" si="22"/>
        <v>1026600</v>
      </c>
      <c r="H146" s="213">
        <v>10266</v>
      </c>
      <c r="I146" s="152">
        <f t="shared" si="26"/>
        <v>1026600</v>
      </c>
      <c r="J146" s="274" t="str">
        <f t="shared" si="23"/>
        <v>OK</v>
      </c>
      <c r="K146" s="213">
        <v>10266</v>
      </c>
      <c r="L146" s="152">
        <f t="shared" si="24"/>
        <v>1026600</v>
      </c>
      <c r="M146" s="274" t="str">
        <f t="shared" si="25"/>
        <v>OK</v>
      </c>
    </row>
    <row r="147" spans="1:13" ht="15" x14ac:dyDescent="0.25">
      <c r="A147" s="216"/>
      <c r="B147" s="216"/>
      <c r="C147" s="215" t="s">
        <v>676</v>
      </c>
      <c r="D147" s="216"/>
      <c r="E147" s="322"/>
      <c r="F147" s="276"/>
      <c r="G147" s="276">
        <f>SUM(G122:G146)</f>
        <v>44148204</v>
      </c>
      <c r="H147" s="276"/>
      <c r="I147" s="276">
        <f>SUM(I122:I146)</f>
        <v>44148204</v>
      </c>
      <c r="J147" s="274" t="str">
        <f t="shared" si="23"/>
        <v>OK</v>
      </c>
      <c r="K147" s="276"/>
      <c r="L147" s="276">
        <f>SUM(L122:L146)</f>
        <v>44148204</v>
      </c>
      <c r="M147" s="274" t="str">
        <f t="shared" si="25"/>
        <v>OK</v>
      </c>
    </row>
    <row r="148" spans="1:13" ht="15" x14ac:dyDescent="0.25">
      <c r="A148" s="263">
        <v>14.3</v>
      </c>
      <c r="B148" s="277"/>
      <c r="C148" s="269" t="s">
        <v>677</v>
      </c>
      <c r="D148" s="278"/>
      <c r="E148" s="335"/>
      <c r="F148" s="278"/>
      <c r="G148" s="279"/>
      <c r="H148" s="278"/>
      <c r="I148" s="280">
        <f t="shared" si="26"/>
        <v>0</v>
      </c>
      <c r="J148" s="281" t="str">
        <f t="shared" si="23"/>
        <v>OK</v>
      </c>
      <c r="K148" s="282"/>
      <c r="L148" s="283">
        <f t="shared" si="24"/>
        <v>0</v>
      </c>
      <c r="M148" s="284" t="str">
        <f t="shared" si="25"/>
        <v>OK</v>
      </c>
    </row>
    <row r="149" spans="1:13" ht="48" x14ac:dyDescent="0.25">
      <c r="A149" s="285" t="s">
        <v>678</v>
      </c>
      <c r="B149" s="286"/>
      <c r="C149" s="211" t="s">
        <v>679</v>
      </c>
      <c r="D149" s="287" t="s">
        <v>2</v>
      </c>
      <c r="E149" s="336">
        <v>1</v>
      </c>
      <c r="F149" s="288">
        <v>1729654</v>
      </c>
      <c r="G149" s="288">
        <f t="shared" ref="G149:G160" si="27">+ROUND(F149*E149,0)</f>
        <v>1729654</v>
      </c>
      <c r="H149" s="288">
        <v>1729654</v>
      </c>
      <c r="I149" s="152">
        <f t="shared" si="26"/>
        <v>1729654</v>
      </c>
      <c r="J149" s="284" t="str">
        <f t="shared" si="23"/>
        <v>OK</v>
      </c>
      <c r="K149" s="288">
        <v>1729654</v>
      </c>
      <c r="L149" s="152">
        <f t="shared" si="24"/>
        <v>1729654</v>
      </c>
      <c r="M149" s="284" t="str">
        <f t="shared" si="25"/>
        <v>OK</v>
      </c>
    </row>
    <row r="150" spans="1:13" ht="24" x14ac:dyDescent="0.25">
      <c r="A150" s="285" t="s">
        <v>680</v>
      </c>
      <c r="B150" s="286"/>
      <c r="C150" s="211" t="s">
        <v>681</v>
      </c>
      <c r="D150" s="287" t="s">
        <v>2</v>
      </c>
      <c r="E150" s="336">
        <v>2</v>
      </c>
      <c r="F150" s="288">
        <v>50300</v>
      </c>
      <c r="G150" s="288">
        <f t="shared" si="27"/>
        <v>100600</v>
      </c>
      <c r="H150" s="288">
        <v>50300</v>
      </c>
      <c r="I150" s="152">
        <f t="shared" si="26"/>
        <v>100600</v>
      </c>
      <c r="J150" s="284" t="str">
        <f t="shared" si="23"/>
        <v>OK</v>
      </c>
      <c r="K150" s="288">
        <v>50300</v>
      </c>
      <c r="L150" s="152">
        <f t="shared" si="24"/>
        <v>100600</v>
      </c>
      <c r="M150" s="284" t="str">
        <f t="shared" si="25"/>
        <v>OK</v>
      </c>
    </row>
    <row r="151" spans="1:13" ht="24" x14ac:dyDescent="0.25">
      <c r="A151" s="235" t="s">
        <v>682</v>
      </c>
      <c r="B151" s="236"/>
      <c r="C151" s="289" t="s">
        <v>683</v>
      </c>
      <c r="D151" s="235" t="s">
        <v>2</v>
      </c>
      <c r="E151" s="331">
        <v>1</v>
      </c>
      <c r="F151" s="253">
        <v>1038346</v>
      </c>
      <c r="G151" s="253">
        <f t="shared" si="27"/>
        <v>1038346</v>
      </c>
      <c r="H151" s="253">
        <v>1038346</v>
      </c>
      <c r="I151" s="283">
        <f t="shared" si="26"/>
        <v>1038346</v>
      </c>
      <c r="J151" s="284" t="str">
        <f t="shared" si="23"/>
        <v>OK</v>
      </c>
      <c r="K151" s="253">
        <v>1038346</v>
      </c>
      <c r="L151" s="283">
        <f t="shared" si="24"/>
        <v>1038346</v>
      </c>
      <c r="M151" s="284" t="str">
        <f t="shared" si="25"/>
        <v>OK</v>
      </c>
    </row>
    <row r="152" spans="1:13" ht="15" x14ac:dyDescent="0.25">
      <c r="A152" s="285" t="s">
        <v>684</v>
      </c>
      <c r="B152" s="286"/>
      <c r="C152" s="211" t="s">
        <v>685</v>
      </c>
      <c r="D152" s="287" t="s">
        <v>2</v>
      </c>
      <c r="E152" s="336">
        <v>1</v>
      </c>
      <c r="F152" s="288">
        <v>131194</v>
      </c>
      <c r="G152" s="288">
        <f t="shared" si="27"/>
        <v>131194</v>
      </c>
      <c r="H152" s="288">
        <v>131194</v>
      </c>
      <c r="I152" s="152">
        <f t="shared" si="26"/>
        <v>131194</v>
      </c>
      <c r="J152" s="284" t="str">
        <f t="shared" si="23"/>
        <v>OK</v>
      </c>
      <c r="K152" s="288">
        <v>131194</v>
      </c>
      <c r="L152" s="152">
        <f t="shared" si="24"/>
        <v>131194</v>
      </c>
      <c r="M152" s="284" t="str">
        <f t="shared" si="25"/>
        <v>OK</v>
      </c>
    </row>
    <row r="153" spans="1:13" ht="24" x14ac:dyDescent="0.25">
      <c r="A153" s="285" t="s">
        <v>686</v>
      </c>
      <c r="B153" s="286"/>
      <c r="C153" s="211" t="s">
        <v>687</v>
      </c>
      <c r="D153" s="287" t="s">
        <v>88</v>
      </c>
      <c r="E153" s="336">
        <v>4</v>
      </c>
      <c r="F153" s="288">
        <v>38472</v>
      </c>
      <c r="G153" s="288">
        <f t="shared" si="27"/>
        <v>153888</v>
      </c>
      <c r="H153" s="288">
        <v>38472</v>
      </c>
      <c r="I153" s="152">
        <f t="shared" si="26"/>
        <v>153888</v>
      </c>
      <c r="J153" s="284" t="str">
        <f t="shared" si="23"/>
        <v>OK</v>
      </c>
      <c r="K153" s="288">
        <v>38472</v>
      </c>
      <c r="L153" s="152">
        <f t="shared" si="24"/>
        <v>153888</v>
      </c>
      <c r="M153" s="284" t="str">
        <f t="shared" si="25"/>
        <v>OK</v>
      </c>
    </row>
    <row r="154" spans="1:13" ht="36" x14ac:dyDescent="0.25">
      <c r="A154" s="210" t="s">
        <v>688</v>
      </c>
      <c r="B154" s="210"/>
      <c r="C154" s="211" t="s">
        <v>689</v>
      </c>
      <c r="D154" s="210" t="s">
        <v>2</v>
      </c>
      <c r="E154" s="321">
        <v>12</v>
      </c>
      <c r="F154" s="213">
        <v>45051</v>
      </c>
      <c r="G154" s="213">
        <f t="shared" si="27"/>
        <v>540612</v>
      </c>
      <c r="H154" s="213">
        <v>45051</v>
      </c>
      <c r="I154" s="152">
        <f t="shared" si="26"/>
        <v>540612</v>
      </c>
      <c r="J154" s="284" t="str">
        <f t="shared" si="23"/>
        <v>OK</v>
      </c>
      <c r="K154" s="213">
        <v>45051</v>
      </c>
      <c r="L154" s="152">
        <f t="shared" si="24"/>
        <v>540612</v>
      </c>
      <c r="M154" s="284" t="str">
        <f t="shared" si="25"/>
        <v>OK</v>
      </c>
    </row>
    <row r="155" spans="1:13" ht="24" x14ac:dyDescent="0.25">
      <c r="A155" s="210" t="s">
        <v>690</v>
      </c>
      <c r="B155" s="210"/>
      <c r="C155" s="211" t="s">
        <v>691</v>
      </c>
      <c r="D155" s="210" t="s">
        <v>2</v>
      </c>
      <c r="E155" s="321">
        <v>13</v>
      </c>
      <c r="F155" s="213">
        <v>51567</v>
      </c>
      <c r="G155" s="213">
        <f t="shared" si="27"/>
        <v>670371</v>
      </c>
      <c r="H155" s="213">
        <v>51567</v>
      </c>
      <c r="I155" s="152">
        <f t="shared" si="26"/>
        <v>670371</v>
      </c>
      <c r="J155" s="284" t="str">
        <f t="shared" si="23"/>
        <v>OK</v>
      </c>
      <c r="K155" s="213">
        <v>51567</v>
      </c>
      <c r="L155" s="152">
        <f t="shared" si="24"/>
        <v>670371</v>
      </c>
      <c r="M155" s="284" t="str">
        <f t="shared" si="25"/>
        <v>OK</v>
      </c>
    </row>
    <row r="156" spans="1:13" ht="15" x14ac:dyDescent="0.25">
      <c r="A156" s="210" t="s">
        <v>692</v>
      </c>
      <c r="B156" s="210"/>
      <c r="C156" s="211" t="s">
        <v>693</v>
      </c>
      <c r="D156" s="210" t="s">
        <v>2</v>
      </c>
      <c r="E156" s="321">
        <v>0</v>
      </c>
      <c r="F156" s="213">
        <v>2655798</v>
      </c>
      <c r="G156" s="213">
        <f t="shared" si="27"/>
        <v>0</v>
      </c>
      <c r="H156" s="213">
        <v>2655798</v>
      </c>
      <c r="I156" s="152">
        <f t="shared" si="26"/>
        <v>0</v>
      </c>
      <c r="J156" s="284" t="str">
        <f t="shared" si="23"/>
        <v>OK</v>
      </c>
      <c r="K156" s="213">
        <v>2655798</v>
      </c>
      <c r="L156" s="152">
        <f t="shared" si="24"/>
        <v>0</v>
      </c>
      <c r="M156" s="284" t="str">
        <f t="shared" si="25"/>
        <v>OK</v>
      </c>
    </row>
    <row r="157" spans="1:13" ht="15" x14ac:dyDescent="0.25">
      <c r="A157" s="210" t="s">
        <v>694</v>
      </c>
      <c r="B157" s="210"/>
      <c r="C157" s="211" t="s">
        <v>695</v>
      </c>
      <c r="D157" s="210" t="s">
        <v>2</v>
      </c>
      <c r="E157" s="321">
        <v>1</v>
      </c>
      <c r="F157" s="213">
        <v>22400</v>
      </c>
      <c r="G157" s="213">
        <f t="shared" si="27"/>
        <v>22400</v>
      </c>
      <c r="H157" s="213">
        <v>22400</v>
      </c>
      <c r="I157" s="152">
        <f t="shared" si="26"/>
        <v>22400</v>
      </c>
      <c r="J157" s="284" t="str">
        <f t="shared" si="23"/>
        <v>OK</v>
      </c>
      <c r="K157" s="213">
        <v>22400</v>
      </c>
      <c r="L157" s="152">
        <f t="shared" si="24"/>
        <v>22400</v>
      </c>
      <c r="M157" s="284" t="str">
        <f t="shared" si="25"/>
        <v>OK</v>
      </c>
    </row>
    <row r="158" spans="1:13" ht="15" x14ac:dyDescent="0.25">
      <c r="A158" s="210" t="s">
        <v>696</v>
      </c>
      <c r="B158" s="210"/>
      <c r="C158" s="211" t="s">
        <v>697</v>
      </c>
      <c r="D158" s="210" t="s">
        <v>2</v>
      </c>
      <c r="E158" s="321">
        <v>0</v>
      </c>
      <c r="F158" s="213">
        <v>23836819</v>
      </c>
      <c r="G158" s="213">
        <f t="shared" si="27"/>
        <v>0</v>
      </c>
      <c r="H158" s="213">
        <v>23836819</v>
      </c>
      <c r="I158" s="152">
        <f t="shared" si="26"/>
        <v>0</v>
      </c>
      <c r="J158" s="284" t="str">
        <f t="shared" si="23"/>
        <v>OK</v>
      </c>
      <c r="K158" s="213">
        <v>23836819</v>
      </c>
      <c r="L158" s="152">
        <f t="shared" si="24"/>
        <v>0</v>
      </c>
      <c r="M158" s="284" t="str">
        <f t="shared" si="25"/>
        <v>OK</v>
      </c>
    </row>
    <row r="159" spans="1:13" ht="15" x14ac:dyDescent="0.25">
      <c r="A159" s="235"/>
      <c r="B159" s="236"/>
      <c r="C159" s="289" t="s">
        <v>698</v>
      </c>
      <c r="D159" s="235"/>
      <c r="E159" s="331"/>
      <c r="F159" s="253"/>
      <c r="G159" s="253"/>
      <c r="H159" s="253"/>
      <c r="I159" s="283">
        <f t="shared" si="26"/>
        <v>0</v>
      </c>
      <c r="J159" s="284" t="str">
        <f t="shared" si="23"/>
        <v>OK</v>
      </c>
      <c r="K159" s="253"/>
      <c r="L159" s="283">
        <f t="shared" si="24"/>
        <v>0</v>
      </c>
      <c r="M159" s="284" t="str">
        <f t="shared" si="25"/>
        <v>OK</v>
      </c>
    </row>
    <row r="160" spans="1:13" ht="15" x14ac:dyDescent="0.25">
      <c r="A160" s="261" t="s">
        <v>699</v>
      </c>
      <c r="B160" s="262"/>
      <c r="C160" s="211" t="s">
        <v>700</v>
      </c>
      <c r="D160" s="231" t="s">
        <v>2</v>
      </c>
      <c r="E160" s="327">
        <v>1</v>
      </c>
      <c r="F160" s="232">
        <v>886093.19015482627</v>
      </c>
      <c r="G160" s="232">
        <f t="shared" si="27"/>
        <v>886093</v>
      </c>
      <c r="H160" s="232">
        <v>886093</v>
      </c>
      <c r="I160" s="290">
        <f t="shared" si="26"/>
        <v>886093</v>
      </c>
      <c r="J160" s="291" t="str">
        <f t="shared" si="23"/>
        <v>OK</v>
      </c>
      <c r="K160" s="232">
        <v>886093</v>
      </c>
      <c r="L160" s="290">
        <f t="shared" si="24"/>
        <v>886093</v>
      </c>
      <c r="M160" s="291" t="str">
        <f t="shared" si="25"/>
        <v>OK</v>
      </c>
    </row>
    <row r="161" spans="1:13" ht="15" x14ac:dyDescent="0.25">
      <c r="A161" s="268"/>
      <c r="B161" s="292"/>
      <c r="C161" s="215" t="s">
        <v>701</v>
      </c>
      <c r="D161" s="216"/>
      <c r="E161" s="217"/>
      <c r="F161" s="276"/>
      <c r="G161" s="276">
        <f>SUM(G149:G160)</f>
        <v>5273158</v>
      </c>
      <c r="H161" s="152"/>
      <c r="I161" s="276">
        <f>SUM(I149:I160)</f>
        <v>5273158</v>
      </c>
      <c r="J161" s="291" t="str">
        <f t="shared" si="23"/>
        <v>OK</v>
      </c>
      <c r="K161" s="290"/>
      <c r="L161" s="293">
        <f>SUM(L149:L160)</f>
        <v>5273158</v>
      </c>
      <c r="M161" s="291" t="str">
        <f t="shared" si="25"/>
        <v>OK</v>
      </c>
    </row>
    <row r="162" spans="1:13" ht="15" x14ac:dyDescent="0.25">
      <c r="A162" s="235"/>
      <c r="B162" s="294"/>
      <c r="C162" s="215" t="s">
        <v>702</v>
      </c>
      <c r="D162" s="210"/>
      <c r="E162" s="212"/>
      <c r="F162" s="212"/>
      <c r="G162" s="295">
        <f>SUM(G120,G147,G161)</f>
        <v>96311159</v>
      </c>
      <c r="H162" s="152"/>
      <c r="I162" s="295">
        <f>SUM(I120,I147,I161)</f>
        <v>96311159</v>
      </c>
      <c r="J162" s="291" t="str">
        <f t="shared" si="23"/>
        <v>OK</v>
      </c>
      <c r="K162" s="290"/>
      <c r="L162" s="296">
        <f>SUM(L120,L147,L161)</f>
        <v>96311159</v>
      </c>
      <c r="M162" s="291" t="str">
        <f t="shared" si="25"/>
        <v>OK</v>
      </c>
    </row>
    <row r="163" spans="1:13" ht="15" x14ac:dyDescent="0.25">
      <c r="A163" s="268"/>
      <c r="B163" s="292"/>
      <c r="C163" s="297"/>
      <c r="D163" s="298"/>
      <c r="E163" s="299"/>
      <c r="F163" s="299"/>
      <c r="G163" s="293"/>
      <c r="H163" s="290"/>
      <c r="I163" s="290"/>
      <c r="J163" s="291" t="str">
        <f t="shared" si="23"/>
        <v>OK</v>
      </c>
      <c r="K163" s="290"/>
      <c r="L163" s="290"/>
      <c r="M163" s="291" t="str">
        <f t="shared" si="25"/>
        <v>OK</v>
      </c>
    </row>
    <row r="164" spans="1:13" x14ac:dyDescent="0.25">
      <c r="A164" s="300"/>
      <c r="B164" s="300"/>
      <c r="C164" s="301" t="s">
        <v>3</v>
      </c>
      <c r="D164" s="300"/>
      <c r="E164" s="300"/>
      <c r="F164" s="302"/>
      <c r="G164" s="303">
        <f>+G94+G88+G81+G76+G72+G69+G63+G54+G48+G30+G27+G21+G13+G162</f>
        <v>461936643</v>
      </c>
      <c r="H164" s="302"/>
      <c r="I164" s="303">
        <f>+I94+I88+I81+I76+I72+I69+I63+I54+I48+I30+I27+I21+I13+I162</f>
        <v>461936643</v>
      </c>
      <c r="J164" s="300"/>
      <c r="K164" s="302"/>
      <c r="L164" s="303">
        <f>+L94+L88+L81+L76+L72+L69+L63+L54+L48+L30+L27+L21+L13+L162</f>
        <v>461936643</v>
      </c>
      <c r="M164" s="300"/>
    </row>
    <row r="165" spans="1:13" x14ac:dyDescent="0.25">
      <c r="A165" s="300"/>
      <c r="B165" s="300"/>
      <c r="C165" s="304" t="s">
        <v>12</v>
      </c>
      <c r="D165" s="305">
        <v>0.17</v>
      </c>
      <c r="E165" s="300"/>
      <c r="F165" s="302"/>
      <c r="G165" s="306">
        <f>ROUND(G164*$D165,0)</f>
        <v>78529229</v>
      </c>
      <c r="H165" s="305">
        <v>0.17</v>
      </c>
      <c r="I165" s="306">
        <f>ROUND(I$164*$H165,0)</f>
        <v>78529229</v>
      </c>
      <c r="J165" s="300"/>
      <c r="K165" s="305">
        <v>0.17</v>
      </c>
      <c r="L165" s="306">
        <f>ROUND(L$164*$K165,0)</f>
        <v>78529229</v>
      </c>
      <c r="M165" s="300"/>
    </row>
    <row r="166" spans="1:13" x14ac:dyDescent="0.25">
      <c r="A166" s="300"/>
      <c r="B166" s="300"/>
      <c r="C166" s="304" t="s">
        <v>13</v>
      </c>
      <c r="D166" s="305">
        <v>0.03</v>
      </c>
      <c r="E166" s="300"/>
      <c r="F166" s="302"/>
      <c r="G166" s="306">
        <f>ROUND(G164*$D166,0)</f>
        <v>13858099</v>
      </c>
      <c r="H166" s="305">
        <v>0.03</v>
      </c>
      <c r="I166" s="306">
        <f>ROUND(I$164*$H166,0)</f>
        <v>13858099</v>
      </c>
      <c r="J166" s="300"/>
      <c r="K166" s="305">
        <v>0.03</v>
      </c>
      <c r="L166" s="306">
        <f>ROUND(L$164*$K166,0)</f>
        <v>13858099</v>
      </c>
      <c r="M166" s="300"/>
    </row>
    <row r="167" spans="1:13" x14ac:dyDescent="0.25">
      <c r="A167" s="300"/>
      <c r="B167" s="300"/>
      <c r="C167" s="304" t="s">
        <v>4</v>
      </c>
      <c r="D167" s="305">
        <v>0.05</v>
      </c>
      <c r="E167" s="300"/>
      <c r="F167" s="302"/>
      <c r="G167" s="306">
        <f>ROUND(G164*$D167,0)</f>
        <v>23096832</v>
      </c>
      <c r="H167" s="305">
        <v>0.05</v>
      </c>
      <c r="I167" s="306">
        <f>ROUND(I$164*$H167,0)</f>
        <v>23096832</v>
      </c>
      <c r="J167" s="300"/>
      <c r="K167" s="305">
        <v>0.05</v>
      </c>
      <c r="L167" s="306">
        <f>ROUND(L$164*$K167,0)</f>
        <v>23096832</v>
      </c>
      <c r="M167" s="300"/>
    </row>
    <row r="168" spans="1:13" x14ac:dyDescent="0.25">
      <c r="A168" s="300"/>
      <c r="B168" s="300"/>
      <c r="C168" s="304" t="s">
        <v>703</v>
      </c>
      <c r="D168" s="305">
        <f>SUM(D165:D167)</f>
        <v>0.25</v>
      </c>
      <c r="E168" s="300"/>
      <c r="F168" s="302"/>
      <c r="G168" s="306">
        <f>SUM(G165:G167)</f>
        <v>115484160</v>
      </c>
      <c r="H168" s="305">
        <f>SUM(H165:H167)</f>
        <v>0.25</v>
      </c>
      <c r="I168" s="306">
        <f>SUM(I165:I167)</f>
        <v>115484160</v>
      </c>
      <c r="J168" s="300" t="str">
        <f>+IF(H168&lt;=$D$168,"OK","NO OK")</f>
        <v>OK</v>
      </c>
      <c r="K168" s="305">
        <f>SUM(K165:K167)</f>
        <v>0.25</v>
      </c>
      <c r="L168" s="306">
        <f>SUM(L165:L167)</f>
        <v>115484160</v>
      </c>
      <c r="M168" s="300" t="str">
        <f>+IF(K168&lt;=$D$168,"OK","NO OK")</f>
        <v>OK</v>
      </c>
    </row>
    <row r="169" spans="1:13" x14ac:dyDescent="0.25">
      <c r="A169" s="300"/>
      <c r="B169" s="300"/>
      <c r="C169" s="307" t="s">
        <v>6</v>
      </c>
      <c r="D169" s="308">
        <v>0.19</v>
      </c>
      <c r="E169" s="300"/>
      <c r="F169" s="302"/>
      <c r="G169" s="306">
        <f>ROUND(G167*D169,0)</f>
        <v>4388398</v>
      </c>
      <c r="H169" s="308">
        <v>0.19</v>
      </c>
      <c r="I169" s="306">
        <f>ROUND(I167*H169,0)</f>
        <v>4388398</v>
      </c>
      <c r="J169" s="300"/>
      <c r="K169" s="308">
        <v>0.19</v>
      </c>
      <c r="L169" s="306">
        <f>ROUND(L167*K169,0)</f>
        <v>4388398</v>
      </c>
      <c r="M169" s="300"/>
    </row>
    <row r="170" spans="1:13" x14ac:dyDescent="0.25">
      <c r="A170" s="300"/>
      <c r="B170" s="309"/>
      <c r="C170" s="310" t="s">
        <v>378</v>
      </c>
      <c r="D170" s="300"/>
      <c r="E170" s="311"/>
      <c r="F170" s="302"/>
      <c r="G170" s="312">
        <f>ROUND(+G164+G168+G169,0)</f>
        <v>581809201</v>
      </c>
      <c r="H170" s="313"/>
      <c r="I170" s="312">
        <f>ROUND(+I164+I168+I169,0)</f>
        <v>581809201</v>
      </c>
      <c r="J170" s="300"/>
      <c r="K170" s="313"/>
      <c r="L170" s="312">
        <f>ROUND(+L164+L168+L169,0)</f>
        <v>581809201</v>
      </c>
      <c r="M170" s="300"/>
    </row>
    <row r="171" spans="1:13" x14ac:dyDescent="0.25">
      <c r="A171" s="300"/>
      <c r="B171" s="309"/>
      <c r="C171" s="310"/>
      <c r="D171" s="300"/>
      <c r="E171" s="311"/>
      <c r="F171" s="302"/>
      <c r="G171" s="312"/>
      <c r="H171" s="313"/>
      <c r="I171" s="306"/>
      <c r="J171" s="300"/>
      <c r="K171" s="313"/>
      <c r="L171" s="306"/>
      <c r="M171" s="300"/>
    </row>
    <row r="172" spans="1:13" x14ac:dyDescent="0.25">
      <c r="A172" s="300"/>
      <c r="B172" s="309"/>
      <c r="C172" s="310" t="s">
        <v>375</v>
      </c>
      <c r="D172" s="300"/>
      <c r="E172" s="311"/>
      <c r="F172" s="302"/>
      <c r="G172" s="312">
        <f>SUM(G170:G171)</f>
        <v>581809201</v>
      </c>
      <c r="H172" s="313"/>
      <c r="I172" s="306"/>
      <c r="J172" s="300"/>
      <c r="K172" s="313"/>
      <c r="L172" s="306"/>
      <c r="M172" s="300"/>
    </row>
    <row r="173" spans="1:13" x14ac:dyDescent="0.25">
      <c r="A173" s="300"/>
      <c r="B173" s="309"/>
      <c r="C173" s="310"/>
      <c r="D173" s="300"/>
      <c r="E173" s="311"/>
      <c r="F173" s="302"/>
      <c r="G173" s="312"/>
      <c r="H173" s="313"/>
      <c r="I173" s="306"/>
      <c r="J173" s="300"/>
      <c r="K173" s="313"/>
      <c r="L173" s="306"/>
      <c r="M173" s="300"/>
    </row>
    <row r="174" spans="1:13" ht="15" x14ac:dyDescent="0.25">
      <c r="A174" s="300"/>
      <c r="B174" s="300"/>
      <c r="C174" s="314" t="s">
        <v>47</v>
      </c>
      <c r="D174" s="300"/>
      <c r="E174" s="300"/>
      <c r="F174" s="300"/>
      <c r="G174" s="300"/>
      <c r="H174" s="300"/>
      <c r="I174" s="315">
        <f>+I170</f>
        <v>581809201</v>
      </c>
      <c r="J174" s="291" t="str">
        <f>+IF(I174&lt;=$G172,"OK","NO OK")</f>
        <v>OK</v>
      </c>
      <c r="K174" s="300"/>
      <c r="L174" s="315">
        <f>+L170</f>
        <v>581809201</v>
      </c>
      <c r="M174" s="291" t="str">
        <f>+IF(L174&lt;=$G172,"OK","NO OK")</f>
        <v>OK</v>
      </c>
    </row>
    <row r="175" spans="1:13" ht="15" x14ac:dyDescent="0.25">
      <c r="A175" s="300"/>
      <c r="B175" s="300"/>
      <c r="C175" s="314" t="s">
        <v>48</v>
      </c>
      <c r="D175" s="300"/>
      <c r="E175" s="300"/>
      <c r="F175" s="300"/>
      <c r="G175" s="300"/>
      <c r="H175" s="300"/>
      <c r="I175" s="316">
        <f>+ROUND(I174/$G172,4)</f>
        <v>1</v>
      </c>
      <c r="J175" s="291" t="str">
        <f>+IF(I175&gt;=95%,"OK","NO OK")</f>
        <v>OK</v>
      </c>
      <c r="K175" s="300"/>
      <c r="L175" s="316">
        <f>+ROUND(L174/$G172,4)</f>
        <v>1</v>
      </c>
      <c r="M175" s="291" t="str">
        <f>+IF(L175&gt;=95%,"OK","NO OK")</f>
        <v>OK</v>
      </c>
    </row>
    <row r="176" spans="1:13" x14ac:dyDescent="0.25">
      <c r="A176" s="300"/>
      <c r="B176" s="300"/>
      <c r="C176" s="314" t="s">
        <v>49</v>
      </c>
      <c r="D176" s="300"/>
      <c r="E176" s="300"/>
      <c r="F176" s="300"/>
      <c r="G176" s="300"/>
      <c r="H176" s="300"/>
      <c r="I176" s="312">
        <v>581809201</v>
      </c>
      <c r="J176" s="300"/>
      <c r="K176" s="300"/>
      <c r="L176" s="312">
        <v>581809201</v>
      </c>
      <c r="M176" s="300"/>
    </row>
    <row r="177" spans="1:13" x14ac:dyDescent="0.25">
      <c r="A177" s="300"/>
      <c r="B177" s="300"/>
      <c r="C177" s="314" t="s">
        <v>50</v>
      </c>
      <c r="D177" s="300"/>
      <c r="E177" s="300"/>
      <c r="F177" s="300"/>
      <c r="G177" s="300"/>
      <c r="H177" s="300"/>
      <c r="I177" s="312">
        <f>+ABS(I174-I176)</f>
        <v>0</v>
      </c>
      <c r="J177" s="300"/>
      <c r="K177" s="300"/>
      <c r="L177" s="312">
        <f>+ABS(L174-L176)</f>
        <v>0</v>
      </c>
      <c r="M177" s="300"/>
    </row>
    <row r="178" spans="1:13" ht="15" x14ac:dyDescent="0.25">
      <c r="A178" s="300"/>
      <c r="B178" s="300"/>
      <c r="C178" s="314" t="s">
        <v>51</v>
      </c>
      <c r="D178" s="300"/>
      <c r="E178" s="300"/>
      <c r="F178" s="300"/>
      <c r="G178" s="300"/>
      <c r="H178" s="300"/>
      <c r="I178" s="317">
        <f>+I177/I176</f>
        <v>0</v>
      </c>
      <c r="J178" s="291" t="str">
        <f>+IF(I178&gt;0.1%,"NO OK","OK")</f>
        <v>OK</v>
      </c>
      <c r="K178" s="300"/>
      <c r="L178" s="317">
        <f>+L177/L176</f>
        <v>0</v>
      </c>
      <c r="M178" s="291" t="str">
        <f>+IF(L178&gt;0.1%,"NO OK","OK")</f>
        <v>OK</v>
      </c>
    </row>
    <row r="179" spans="1:13" ht="15" x14ac:dyDescent="0.25">
      <c r="A179" s="300"/>
      <c r="B179" s="300"/>
      <c r="C179" s="314" t="s">
        <v>52</v>
      </c>
      <c r="D179" s="300"/>
      <c r="E179" s="300"/>
      <c r="F179" s="300"/>
      <c r="G179" s="300"/>
      <c r="H179" s="300"/>
      <c r="I179" s="300"/>
      <c r="J179" s="291" t="s">
        <v>15</v>
      </c>
      <c r="K179" s="300"/>
      <c r="L179" s="300"/>
      <c r="M179" s="291" t="s">
        <v>15</v>
      </c>
    </row>
    <row r="180" spans="1:13" ht="15" x14ac:dyDescent="0.25">
      <c r="A180" s="300"/>
      <c r="B180" s="300"/>
      <c r="C180" s="314" t="s">
        <v>53</v>
      </c>
      <c r="D180" s="300"/>
      <c r="E180" s="300"/>
      <c r="F180" s="300"/>
      <c r="G180" s="300"/>
      <c r="H180" s="673" t="str">
        <f>+IF(J174="OK",IF(J175="OK",IF(J178="OK",IF(J179="OK",IF(J168="OK","SI","NO"),"NO"),"NO"),"NO"),"NO")</f>
        <v>SI</v>
      </c>
      <c r="I180" s="674"/>
      <c r="J180" s="675"/>
      <c r="K180" s="673" t="str">
        <f>+IF(M174="OK",IF(M175="OK",IF(M178="OK",IF(M179="OK",IF(M168="OK","SI","NO"),"NO"),"NO"),"NO"),"NO")</f>
        <v>SI</v>
      </c>
      <c r="L180" s="674"/>
      <c r="M180" s="675"/>
    </row>
    <row r="182" spans="1:13" ht="15.75" x14ac:dyDescent="0.25">
      <c r="C182" s="198" t="s">
        <v>35</v>
      </c>
      <c r="H182" s="198"/>
      <c r="I182" s="318"/>
      <c r="J182" s="318"/>
      <c r="K182" s="198"/>
      <c r="L182" s="318"/>
      <c r="M182" s="318"/>
    </row>
    <row r="183" spans="1:13" x14ac:dyDescent="0.25">
      <c r="H183" s="199"/>
      <c r="I183" s="318"/>
      <c r="J183" s="318"/>
      <c r="K183" s="199"/>
      <c r="L183" s="318"/>
      <c r="M183" s="318"/>
    </row>
    <row r="184" spans="1:13" x14ac:dyDescent="0.25">
      <c r="H184" s="199"/>
      <c r="I184" s="318"/>
      <c r="J184" s="318"/>
      <c r="K184" s="199"/>
      <c r="L184" s="318"/>
      <c r="M184" s="318"/>
    </row>
    <row r="185" spans="1:13" x14ac:dyDescent="0.25">
      <c r="H185" s="199"/>
      <c r="I185" s="318"/>
      <c r="J185" s="318"/>
      <c r="K185" s="199"/>
      <c r="L185" s="318"/>
      <c r="M185" s="318"/>
    </row>
    <row r="186" spans="1:13" ht="15.75" x14ac:dyDescent="0.25">
      <c r="C186" s="319" t="s">
        <v>36</v>
      </c>
      <c r="D186" s="319"/>
      <c r="H186" s="319"/>
      <c r="I186" s="318"/>
      <c r="J186" s="319"/>
      <c r="K186" s="319"/>
      <c r="L186" s="318"/>
      <c r="M186" s="319"/>
    </row>
    <row r="187" spans="1:13" ht="15.75" x14ac:dyDescent="0.25">
      <c r="C187" s="103" t="s">
        <v>72</v>
      </c>
      <c r="D187" s="103"/>
      <c r="H187" s="103"/>
      <c r="I187" s="318"/>
      <c r="J187" s="103"/>
      <c r="K187" s="103"/>
      <c r="L187" s="318"/>
      <c r="M187" s="103"/>
    </row>
    <row r="188" spans="1:13" ht="15.75" x14ac:dyDescent="0.25">
      <c r="C188" s="103"/>
      <c r="H188" s="103"/>
      <c r="I188" s="318"/>
      <c r="J188" s="318"/>
      <c r="K188" s="103"/>
      <c r="L188" s="318"/>
      <c r="M188" s="318"/>
    </row>
    <row r="189" spans="1:13" ht="15.75" x14ac:dyDescent="0.25">
      <c r="C189" s="103"/>
      <c r="H189" s="103"/>
      <c r="I189" s="320"/>
      <c r="J189" s="320"/>
      <c r="K189" s="103"/>
      <c r="L189" s="320"/>
      <c r="M189" s="320"/>
    </row>
    <row r="190" spans="1:13" ht="15.75" x14ac:dyDescent="0.25">
      <c r="C190" s="103"/>
      <c r="H190" s="103"/>
      <c r="I190" s="320"/>
      <c r="J190" s="320"/>
      <c r="K190" s="103"/>
      <c r="L190" s="320"/>
      <c r="M190" s="320"/>
    </row>
    <row r="191" spans="1:13" ht="15.75" x14ac:dyDescent="0.25">
      <c r="C191" s="319" t="s">
        <v>37</v>
      </c>
      <c r="D191" s="319"/>
      <c r="H191" s="319"/>
      <c r="I191" s="319"/>
      <c r="J191" s="319"/>
      <c r="K191" s="319"/>
      <c r="L191" s="319"/>
      <c r="M191" s="319"/>
    </row>
    <row r="192" spans="1:13" ht="15.75" x14ac:dyDescent="0.25">
      <c r="C192" s="103" t="s">
        <v>38</v>
      </c>
      <c r="D192" s="103"/>
      <c r="H192" s="103"/>
      <c r="I192" s="320"/>
      <c r="J192" s="320"/>
      <c r="K192" s="103"/>
      <c r="L192" s="320"/>
      <c r="M192" s="320"/>
    </row>
    <row r="193" spans="3:13" ht="15.75" x14ac:dyDescent="0.25">
      <c r="C193" s="103" t="s">
        <v>39</v>
      </c>
      <c r="H193" s="103"/>
      <c r="I193" s="320"/>
      <c r="J193" s="320"/>
      <c r="K193" s="103"/>
      <c r="L193" s="320"/>
      <c r="M193" s="320"/>
    </row>
  </sheetData>
  <mergeCells count="15">
    <mergeCell ref="H180:J180"/>
    <mergeCell ref="K180:M180"/>
    <mergeCell ref="A1:G1"/>
    <mergeCell ref="A2:G2"/>
    <mergeCell ref="A3:G4"/>
    <mergeCell ref="H3:J4"/>
    <mergeCell ref="K3:M4"/>
    <mergeCell ref="A5:G5"/>
    <mergeCell ref="H5:J5"/>
    <mergeCell ref="K5:M5"/>
    <mergeCell ref="A6:G6"/>
    <mergeCell ref="H6:H7"/>
    <mergeCell ref="I6:I7"/>
    <mergeCell ref="K6:K7"/>
    <mergeCell ref="L6:L7"/>
  </mergeCells>
  <conditionalFormatting sqref="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cfRule type="containsText" dxfId="76" priority="16" operator="containsText" text="NO OK">
      <formula>NOT(ISERROR(SEARCH("NO OK",J9)))</formula>
    </cfRule>
  </conditionalFormatting>
  <conditionalFormatting sqref="J178">
    <cfRule type="containsText" dxfId="75" priority="15" operator="containsText" text="NO OK">
      <formula>NOT(ISERROR(SEARCH("NO OK",J178)))</formula>
    </cfRule>
  </conditionalFormatting>
  <conditionalFormatting sqref="J174:J175">
    <cfRule type="containsText" dxfId="74" priority="14" operator="containsText" text="NO OK">
      <formula>NOT(ISERROR(SEARCH("NO OK",J174)))</formula>
    </cfRule>
  </conditionalFormatting>
  <conditionalFormatting sqref="J179">
    <cfRule type="containsText" dxfId="73" priority="13" operator="containsText" text="NO OK">
      <formula>NOT(ISERROR(SEARCH("NO OK",J179)))</formula>
    </cfRule>
  </conditionalFormatting>
  <conditionalFormatting sqref="J168">
    <cfRule type="cellIs" dxfId="72" priority="12" operator="equal">
      <formula>"NO OK"</formula>
    </cfRule>
  </conditionalFormatting>
  <conditionalFormatting sqref="H180">
    <cfRule type="containsText" dxfId="71" priority="11" operator="containsText" text="NO">
      <formula>NOT(ISERROR(SEARCH("NO",H180)))</formula>
    </cfRule>
  </conditionalFormatting>
  <conditionalFormatting sqref="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cfRule type="containsText" dxfId="70" priority="10" operator="containsText" text="NO OK">
      <formula>NOT(ISERROR(SEARCH("NO OK",M9)))</formula>
    </cfRule>
  </conditionalFormatting>
  <conditionalFormatting sqref="M178">
    <cfRule type="containsText" dxfId="69" priority="9" operator="containsText" text="NO OK">
      <formula>NOT(ISERROR(SEARCH("NO OK",M178)))</formula>
    </cfRule>
  </conditionalFormatting>
  <conditionalFormatting sqref="M175">
    <cfRule type="containsText" dxfId="68" priority="8" operator="containsText" text="NO OK">
      <formula>NOT(ISERROR(SEARCH("NO OK",M175)))</formula>
    </cfRule>
  </conditionalFormatting>
  <conditionalFormatting sqref="M179">
    <cfRule type="containsText" dxfId="67" priority="7" operator="containsText" text="NO OK">
      <formula>NOT(ISERROR(SEARCH("NO OK",M179)))</formula>
    </cfRule>
  </conditionalFormatting>
  <conditionalFormatting sqref="M168">
    <cfRule type="cellIs" dxfId="66" priority="6" operator="equal">
      <formula>"NO OK"</formula>
    </cfRule>
  </conditionalFormatting>
  <conditionalFormatting sqref="K180">
    <cfRule type="containsText" dxfId="65" priority="5" operator="containsText" text="NO">
      <formula>NOT(ISERROR(SEARCH("NO",K180)))</formula>
    </cfRule>
  </conditionalFormatting>
  <conditionalFormatting sqref="H180:M180">
    <cfRule type="containsText" dxfId="64" priority="4" operator="containsText" text="SI">
      <formula>NOT(ISERROR(SEARCH("SI",H180)))</formula>
    </cfRule>
  </conditionalFormatting>
  <conditionalFormatting sqref="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cfRule type="containsText" dxfId="63" priority="3" operator="containsText" text="NO OK">
      <formula>NOT(ISERROR(SEARCH("NO OK",J10)))</formula>
    </cfRule>
  </conditionalFormatting>
  <conditionalFormatting sqref="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cfRule type="containsText" dxfId="62" priority="2" operator="containsText" text="NO OK">
      <formula>NOT(ISERROR(SEARCH("NO OK",M10)))</formula>
    </cfRule>
  </conditionalFormatting>
  <conditionalFormatting sqref="M174">
    <cfRule type="containsText" dxfId="61" priority="1" operator="containsText" text="NO OK">
      <formula>NOT(ISERROR(SEARCH("NO OK",M174)))</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L339"/>
  <sheetViews>
    <sheetView zoomScale="80" zoomScaleNormal="80" workbookViewId="0">
      <pane xSplit="4" ySplit="7" topLeftCell="E288" activePane="bottomRight" state="frozen"/>
      <selection pane="topRight" activeCell="E1" sqref="E1"/>
      <selection pane="bottomLeft" activeCell="A8" sqref="A8"/>
      <selection pane="bottomRight" activeCell="E298" sqref="B288:E29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2.28515625" style="1" bestFit="1" customWidth="1"/>
    <col min="5" max="5" width="15.140625" style="1" customWidth="1"/>
    <col min="6" max="6" width="19.4257812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6384" width="15" style="1"/>
  </cols>
  <sheetData>
    <row r="1" spans="1:12" x14ac:dyDescent="0.25">
      <c r="A1" s="688" t="s">
        <v>14</v>
      </c>
      <c r="B1" s="688"/>
      <c r="C1" s="688"/>
      <c r="D1" s="688"/>
      <c r="E1" s="688"/>
      <c r="F1" s="688"/>
    </row>
    <row r="2" spans="1:12" x14ac:dyDescent="0.25">
      <c r="A2" s="688" t="s">
        <v>43</v>
      </c>
      <c r="B2" s="688"/>
      <c r="C2" s="688"/>
      <c r="D2" s="688"/>
      <c r="E2" s="688"/>
      <c r="F2" s="688"/>
    </row>
    <row r="3" spans="1:12" ht="18" customHeight="1" x14ac:dyDescent="0.25">
      <c r="A3" s="687" t="str">
        <f>+'VERIFICACIÓN TÉCNICA'!A7</f>
        <v xml:space="preserve">OBJETO: CONSTRUCCIÓN DE OBRAS PARA EL MEJORAMIENTO DE LAS CONDICIONES DEL CENTRO DEPORTIVO UNIVERSITARIO TULCÁN DE LA UNIVERSIDAD DEL CAUCA EN EL MUNICIPIO DE POPAYÁN, DEPARTAMENTO DEL CAUCA. </v>
      </c>
      <c r="B3" s="687"/>
      <c r="C3" s="687"/>
      <c r="D3" s="687"/>
      <c r="E3" s="687"/>
      <c r="F3" s="687"/>
      <c r="G3" s="689" t="str">
        <f>+'VERIFICACIÓN TÉCNICA'!E10</f>
        <v>CONSORCIO UNIDEPOR 2020</v>
      </c>
      <c r="H3" s="690"/>
      <c r="I3" s="691"/>
      <c r="J3" s="689" t="str">
        <f>+'VERIFICACIÓN TÉCNICA'!G10</f>
        <v>CONSORCIO DEPORTIVO 2020</v>
      </c>
      <c r="K3" s="690"/>
      <c r="L3" s="691"/>
    </row>
    <row r="4" spans="1:12" ht="59.25" customHeight="1" x14ac:dyDescent="0.25">
      <c r="A4" s="687"/>
      <c r="B4" s="687"/>
      <c r="C4" s="687"/>
      <c r="D4" s="687"/>
      <c r="E4" s="687"/>
      <c r="F4" s="687"/>
      <c r="G4" s="692"/>
      <c r="H4" s="693"/>
      <c r="I4" s="694"/>
      <c r="J4" s="692"/>
      <c r="K4" s="693"/>
      <c r="L4" s="694"/>
    </row>
    <row r="5" spans="1:12" x14ac:dyDescent="0.25">
      <c r="A5" s="687"/>
      <c r="B5" s="687"/>
      <c r="C5" s="687"/>
      <c r="D5" s="687"/>
      <c r="E5" s="687"/>
      <c r="F5" s="687"/>
      <c r="G5" s="688">
        <v>2</v>
      </c>
      <c r="H5" s="688"/>
      <c r="I5" s="688"/>
      <c r="J5" s="688">
        <v>3</v>
      </c>
      <c r="K5" s="688"/>
      <c r="L5" s="688"/>
    </row>
    <row r="6" spans="1:12" ht="15" customHeight="1" x14ac:dyDescent="0.25">
      <c r="A6" s="700" t="s">
        <v>44</v>
      </c>
      <c r="B6" s="700"/>
      <c r="C6" s="700"/>
      <c r="D6" s="700"/>
      <c r="E6" s="700"/>
      <c r="F6" s="700"/>
      <c r="G6" s="698" t="s">
        <v>8</v>
      </c>
      <c r="H6" s="698" t="s">
        <v>9</v>
      </c>
      <c r="I6" s="122" t="s">
        <v>45</v>
      </c>
      <c r="J6" s="698" t="s">
        <v>8</v>
      </c>
      <c r="K6" s="698" t="s">
        <v>9</v>
      </c>
      <c r="L6" s="122" t="s">
        <v>45</v>
      </c>
    </row>
    <row r="7" spans="1:12" x14ac:dyDescent="0.25">
      <c r="A7" s="123" t="s">
        <v>0</v>
      </c>
      <c r="B7" s="123" t="s">
        <v>10</v>
      </c>
      <c r="C7" s="123" t="s">
        <v>2</v>
      </c>
      <c r="D7" s="123" t="s">
        <v>1</v>
      </c>
      <c r="E7" s="123" t="s">
        <v>8</v>
      </c>
      <c r="F7" s="123" t="s">
        <v>9</v>
      </c>
      <c r="G7" s="699"/>
      <c r="H7" s="699"/>
      <c r="I7" s="121" t="s">
        <v>46</v>
      </c>
      <c r="J7" s="699"/>
      <c r="K7" s="699"/>
      <c r="L7" s="121" t="s">
        <v>46</v>
      </c>
    </row>
    <row r="8" spans="1:12" s="54" customFormat="1" x14ac:dyDescent="0.25">
      <c r="A8" s="123"/>
      <c r="B8" s="124"/>
      <c r="C8" s="123"/>
      <c r="D8" s="123"/>
      <c r="E8" s="123"/>
      <c r="F8" s="123"/>
      <c r="G8" s="123"/>
      <c r="H8" s="123"/>
      <c r="I8" s="123"/>
      <c r="J8" s="123"/>
      <c r="K8" s="123"/>
      <c r="L8" s="123"/>
    </row>
    <row r="9" spans="1:12" ht="15" x14ac:dyDescent="0.25">
      <c r="A9" s="125">
        <v>1</v>
      </c>
      <c r="B9" s="126" t="s">
        <v>82</v>
      </c>
      <c r="C9" s="125"/>
      <c r="D9" s="127"/>
      <c r="E9" s="128"/>
      <c r="F9" s="128">
        <f>ROUND($D9*E9,0)</f>
        <v>0</v>
      </c>
      <c r="G9" s="130"/>
      <c r="H9" s="130">
        <f t="shared" ref="H9:H10" si="0">ROUND($D9*G9,0)</f>
        <v>0</v>
      </c>
      <c r="I9" s="129" t="str">
        <f t="shared" ref="I9:I10" si="1">+IF(G9&lt;=$E9,"OK","NO OK")</f>
        <v>OK</v>
      </c>
      <c r="J9" s="130"/>
      <c r="K9" s="130">
        <f t="shared" ref="K9:K10" si="2">ROUND($D9*J9,0)</f>
        <v>0</v>
      </c>
      <c r="L9" s="129" t="str">
        <f t="shared" ref="L9:L10" si="3">+IF(J9&lt;=$E9,"OK","NO OK")</f>
        <v>OK</v>
      </c>
    </row>
    <row r="10" spans="1:12" ht="15" x14ac:dyDescent="0.25">
      <c r="A10" s="80">
        <v>1.1000000000000001</v>
      </c>
      <c r="B10" s="131" t="s">
        <v>83</v>
      </c>
      <c r="C10" s="80"/>
      <c r="D10" s="81"/>
      <c r="E10" s="130"/>
      <c r="F10" s="128">
        <f t="shared" ref="F10:F73" si="4">ROUND($D10*E10,0)</f>
        <v>0</v>
      </c>
      <c r="G10" s="130"/>
      <c r="H10" s="130">
        <f t="shared" si="0"/>
        <v>0</v>
      </c>
      <c r="I10" s="129" t="str">
        <f t="shared" si="1"/>
        <v>OK</v>
      </c>
      <c r="J10" s="130"/>
      <c r="K10" s="130">
        <f t="shared" si="2"/>
        <v>0</v>
      </c>
      <c r="L10" s="129" t="str">
        <f t="shared" si="3"/>
        <v>OK</v>
      </c>
    </row>
    <row r="11" spans="1:12" ht="15" x14ac:dyDescent="0.25">
      <c r="A11" s="80" t="s">
        <v>84</v>
      </c>
      <c r="B11" s="131" t="s">
        <v>85</v>
      </c>
      <c r="C11" s="80" t="s">
        <v>7</v>
      </c>
      <c r="D11" s="81">
        <v>3000</v>
      </c>
      <c r="E11" s="130">
        <v>41105</v>
      </c>
      <c r="F11" s="128">
        <f t="shared" si="4"/>
        <v>123315000</v>
      </c>
      <c r="G11" s="130">
        <v>40838</v>
      </c>
      <c r="H11" s="130">
        <f t="shared" ref="H11:H74" si="5">ROUND($D11*G11,0)</f>
        <v>122514000</v>
      </c>
      <c r="I11" s="129" t="str">
        <f t="shared" ref="I11:I74" si="6">+IF(G11&lt;=$E11,"OK","NO OK")</f>
        <v>OK</v>
      </c>
      <c r="J11" s="130">
        <v>40879</v>
      </c>
      <c r="K11" s="130">
        <f t="shared" ref="K11:K74" si="7">ROUND($D11*J11,0)</f>
        <v>122637000</v>
      </c>
      <c r="L11" s="129" t="str">
        <f t="shared" ref="L11:L74" si="8">+IF(J11&lt;=$E11,"OK","NO OK")</f>
        <v>OK</v>
      </c>
    </row>
    <row r="12" spans="1:12" ht="15" x14ac:dyDescent="0.25">
      <c r="A12" s="80" t="s">
        <v>86</v>
      </c>
      <c r="B12" s="131" t="s">
        <v>87</v>
      </c>
      <c r="C12" s="80" t="s">
        <v>88</v>
      </c>
      <c r="D12" s="81">
        <v>571.79999999999995</v>
      </c>
      <c r="E12" s="130">
        <v>14385</v>
      </c>
      <c r="F12" s="128">
        <f t="shared" si="4"/>
        <v>8225343</v>
      </c>
      <c r="G12" s="130">
        <v>14291</v>
      </c>
      <c r="H12" s="130">
        <f t="shared" si="5"/>
        <v>8171594</v>
      </c>
      <c r="I12" s="129" t="str">
        <f t="shared" si="6"/>
        <v>OK</v>
      </c>
      <c r="J12" s="130">
        <v>14306</v>
      </c>
      <c r="K12" s="130">
        <f t="shared" si="7"/>
        <v>8180171</v>
      </c>
      <c r="L12" s="129" t="str">
        <f t="shared" si="8"/>
        <v>OK</v>
      </c>
    </row>
    <row r="13" spans="1:12" ht="15" x14ac:dyDescent="0.25">
      <c r="A13" s="80" t="s">
        <v>89</v>
      </c>
      <c r="B13" s="131" t="s">
        <v>90</v>
      </c>
      <c r="C13" s="80" t="s">
        <v>7</v>
      </c>
      <c r="D13" s="81">
        <v>1984.5</v>
      </c>
      <c r="E13" s="130">
        <v>44720</v>
      </c>
      <c r="F13" s="128">
        <f t="shared" si="4"/>
        <v>88746840</v>
      </c>
      <c r="G13" s="130">
        <v>44429</v>
      </c>
      <c r="H13" s="130">
        <f t="shared" si="5"/>
        <v>88169351</v>
      </c>
      <c r="I13" s="129" t="str">
        <f t="shared" si="6"/>
        <v>OK</v>
      </c>
      <c r="J13" s="130">
        <v>44474</v>
      </c>
      <c r="K13" s="130">
        <f t="shared" si="7"/>
        <v>88258653</v>
      </c>
      <c r="L13" s="129" t="str">
        <f t="shared" si="8"/>
        <v>OK</v>
      </c>
    </row>
    <row r="14" spans="1:12" ht="15" x14ac:dyDescent="0.25">
      <c r="A14" s="80" t="s">
        <v>91</v>
      </c>
      <c r="B14" s="131" t="s">
        <v>92</v>
      </c>
      <c r="C14" s="80" t="s">
        <v>7</v>
      </c>
      <c r="D14" s="81">
        <v>1500</v>
      </c>
      <c r="E14" s="130">
        <v>5443</v>
      </c>
      <c r="F14" s="128">
        <f t="shared" si="4"/>
        <v>8164500</v>
      </c>
      <c r="G14" s="130">
        <v>5408</v>
      </c>
      <c r="H14" s="130">
        <f t="shared" si="5"/>
        <v>8112000</v>
      </c>
      <c r="I14" s="129" t="str">
        <f t="shared" si="6"/>
        <v>OK</v>
      </c>
      <c r="J14" s="130">
        <v>5413</v>
      </c>
      <c r="K14" s="130">
        <f t="shared" si="7"/>
        <v>8119500</v>
      </c>
      <c r="L14" s="129" t="str">
        <f t="shared" si="8"/>
        <v>OK</v>
      </c>
    </row>
    <row r="15" spans="1:12" ht="15" x14ac:dyDescent="0.25">
      <c r="A15" s="80" t="s">
        <v>93</v>
      </c>
      <c r="B15" s="131" t="s">
        <v>94</v>
      </c>
      <c r="C15" s="80" t="s">
        <v>2</v>
      </c>
      <c r="D15" s="81">
        <v>72</v>
      </c>
      <c r="E15" s="130">
        <v>27206</v>
      </c>
      <c r="F15" s="128">
        <f t="shared" si="4"/>
        <v>1958832</v>
      </c>
      <c r="G15" s="130">
        <v>27029</v>
      </c>
      <c r="H15" s="130">
        <f t="shared" si="5"/>
        <v>1946088</v>
      </c>
      <c r="I15" s="129" t="str">
        <f t="shared" si="6"/>
        <v>OK</v>
      </c>
      <c r="J15" s="130">
        <v>27056</v>
      </c>
      <c r="K15" s="130">
        <f t="shared" si="7"/>
        <v>1948032</v>
      </c>
      <c r="L15" s="129" t="str">
        <f t="shared" si="8"/>
        <v>OK</v>
      </c>
    </row>
    <row r="16" spans="1:12" ht="15" x14ac:dyDescent="0.25">
      <c r="A16" s="80" t="s">
        <v>95</v>
      </c>
      <c r="B16" s="131" t="s">
        <v>96</v>
      </c>
      <c r="C16" s="80" t="s">
        <v>2</v>
      </c>
      <c r="D16" s="81">
        <v>162</v>
      </c>
      <c r="E16" s="130">
        <v>19318</v>
      </c>
      <c r="F16" s="128">
        <f t="shared" si="4"/>
        <v>3129516</v>
      </c>
      <c r="G16" s="130">
        <v>19192</v>
      </c>
      <c r="H16" s="130">
        <f t="shared" si="5"/>
        <v>3109104</v>
      </c>
      <c r="I16" s="129" t="str">
        <f t="shared" si="6"/>
        <v>OK</v>
      </c>
      <c r="J16" s="130">
        <v>19212</v>
      </c>
      <c r="K16" s="130">
        <f t="shared" si="7"/>
        <v>3112344</v>
      </c>
      <c r="L16" s="129" t="str">
        <f t="shared" si="8"/>
        <v>OK</v>
      </c>
    </row>
    <row r="17" spans="1:12" ht="25.5" x14ac:dyDescent="0.25">
      <c r="A17" s="80" t="s">
        <v>97</v>
      </c>
      <c r="B17" s="131" t="s">
        <v>98</v>
      </c>
      <c r="C17" s="80" t="s">
        <v>88</v>
      </c>
      <c r="D17" s="81">
        <v>50</v>
      </c>
      <c r="E17" s="130">
        <v>5157</v>
      </c>
      <c r="F17" s="128">
        <f t="shared" si="4"/>
        <v>257850</v>
      </c>
      <c r="G17" s="130">
        <v>5123</v>
      </c>
      <c r="H17" s="130">
        <f t="shared" si="5"/>
        <v>256150</v>
      </c>
      <c r="I17" s="129" t="str">
        <f t="shared" si="6"/>
        <v>OK</v>
      </c>
      <c r="J17" s="130">
        <v>5129</v>
      </c>
      <c r="K17" s="130">
        <f t="shared" si="7"/>
        <v>256450</v>
      </c>
      <c r="L17" s="129" t="str">
        <f t="shared" si="8"/>
        <v>OK</v>
      </c>
    </row>
    <row r="18" spans="1:12" ht="15" x14ac:dyDescent="0.25">
      <c r="A18" s="80" t="s">
        <v>99</v>
      </c>
      <c r="B18" s="131" t="s">
        <v>100</v>
      </c>
      <c r="C18" s="80" t="s">
        <v>11</v>
      </c>
      <c r="D18" s="81">
        <v>1062.32</v>
      </c>
      <c r="E18" s="130">
        <v>22009</v>
      </c>
      <c r="F18" s="128">
        <f t="shared" si="4"/>
        <v>23380601</v>
      </c>
      <c r="G18" s="130">
        <v>21866</v>
      </c>
      <c r="H18" s="130">
        <f t="shared" si="5"/>
        <v>23228689</v>
      </c>
      <c r="I18" s="129" t="str">
        <f t="shared" si="6"/>
        <v>OK</v>
      </c>
      <c r="J18" s="130">
        <v>21888</v>
      </c>
      <c r="K18" s="130">
        <f t="shared" si="7"/>
        <v>23252060</v>
      </c>
      <c r="L18" s="129" t="str">
        <f t="shared" si="8"/>
        <v>OK</v>
      </c>
    </row>
    <row r="19" spans="1:12" ht="15" x14ac:dyDescent="0.25">
      <c r="A19" s="80">
        <v>1.2</v>
      </c>
      <c r="B19" s="131" t="s">
        <v>101</v>
      </c>
      <c r="C19" s="80"/>
      <c r="D19" s="81"/>
      <c r="E19" s="130"/>
      <c r="F19" s="128">
        <f t="shared" si="4"/>
        <v>0</v>
      </c>
      <c r="G19" s="130"/>
      <c r="H19" s="130">
        <f t="shared" si="5"/>
        <v>0</v>
      </c>
      <c r="I19" s="129" t="str">
        <f t="shared" si="6"/>
        <v>OK</v>
      </c>
      <c r="J19" s="130"/>
      <c r="K19" s="130">
        <f t="shared" si="7"/>
        <v>0</v>
      </c>
      <c r="L19" s="129" t="str">
        <f t="shared" si="8"/>
        <v>OK</v>
      </c>
    </row>
    <row r="20" spans="1:12" ht="15" x14ac:dyDescent="0.25">
      <c r="A20" s="80" t="s">
        <v>102</v>
      </c>
      <c r="B20" s="131" t="s">
        <v>103</v>
      </c>
      <c r="C20" s="80" t="s">
        <v>7</v>
      </c>
      <c r="D20" s="81">
        <v>4811.91</v>
      </c>
      <c r="E20" s="130">
        <v>2159</v>
      </c>
      <c r="F20" s="128">
        <f t="shared" si="4"/>
        <v>10388914</v>
      </c>
      <c r="G20" s="130">
        <v>2145</v>
      </c>
      <c r="H20" s="130">
        <f t="shared" si="5"/>
        <v>10321547</v>
      </c>
      <c r="I20" s="129" t="str">
        <f t="shared" si="6"/>
        <v>OK</v>
      </c>
      <c r="J20" s="130">
        <v>2147</v>
      </c>
      <c r="K20" s="130">
        <f t="shared" si="7"/>
        <v>10331171</v>
      </c>
      <c r="L20" s="129" t="str">
        <f t="shared" si="8"/>
        <v>OK</v>
      </c>
    </row>
    <row r="21" spans="1:12" ht="15" x14ac:dyDescent="0.25">
      <c r="A21" s="80" t="s">
        <v>104</v>
      </c>
      <c r="B21" s="131" t="s">
        <v>105</v>
      </c>
      <c r="C21" s="80" t="s">
        <v>2</v>
      </c>
      <c r="D21" s="81">
        <v>4</v>
      </c>
      <c r="E21" s="130">
        <v>2485644</v>
      </c>
      <c r="F21" s="128">
        <f t="shared" si="4"/>
        <v>9942576</v>
      </c>
      <c r="G21" s="130">
        <v>2469487</v>
      </c>
      <c r="H21" s="130">
        <f t="shared" si="5"/>
        <v>9877948</v>
      </c>
      <c r="I21" s="129" t="str">
        <f t="shared" si="6"/>
        <v>OK</v>
      </c>
      <c r="J21" s="130">
        <v>2471973</v>
      </c>
      <c r="K21" s="130">
        <f t="shared" si="7"/>
        <v>9887892</v>
      </c>
      <c r="L21" s="129" t="str">
        <f t="shared" si="8"/>
        <v>OK</v>
      </c>
    </row>
    <row r="22" spans="1:12" ht="15" x14ac:dyDescent="0.25">
      <c r="A22" s="80">
        <v>1.3</v>
      </c>
      <c r="B22" s="131" t="s">
        <v>106</v>
      </c>
      <c r="C22" s="80"/>
      <c r="D22" s="81"/>
      <c r="E22" s="130"/>
      <c r="F22" s="128">
        <f t="shared" si="4"/>
        <v>0</v>
      </c>
      <c r="G22" s="130"/>
      <c r="H22" s="130">
        <f t="shared" si="5"/>
        <v>0</v>
      </c>
      <c r="I22" s="129" t="str">
        <f t="shared" si="6"/>
        <v>OK</v>
      </c>
      <c r="J22" s="130"/>
      <c r="K22" s="130">
        <f t="shared" si="7"/>
        <v>0</v>
      </c>
      <c r="L22" s="129" t="str">
        <f t="shared" si="8"/>
        <v>OK</v>
      </c>
    </row>
    <row r="23" spans="1:12" ht="25.5" x14ac:dyDescent="0.25">
      <c r="A23" s="80" t="s">
        <v>107</v>
      </c>
      <c r="B23" s="131" t="s">
        <v>108</v>
      </c>
      <c r="C23" s="80" t="s">
        <v>88</v>
      </c>
      <c r="D23" s="81">
        <v>318</v>
      </c>
      <c r="E23" s="130">
        <v>21207</v>
      </c>
      <c r="F23" s="128">
        <f t="shared" si="4"/>
        <v>6743826</v>
      </c>
      <c r="G23" s="130">
        <v>21069</v>
      </c>
      <c r="H23" s="130">
        <f t="shared" si="5"/>
        <v>6699942</v>
      </c>
      <c r="I23" s="129" t="str">
        <f t="shared" si="6"/>
        <v>OK</v>
      </c>
      <c r="J23" s="130">
        <v>21090</v>
      </c>
      <c r="K23" s="130">
        <f t="shared" si="7"/>
        <v>6706620</v>
      </c>
      <c r="L23" s="129" t="str">
        <f t="shared" si="8"/>
        <v>OK</v>
      </c>
    </row>
    <row r="24" spans="1:12" ht="15" x14ac:dyDescent="0.25">
      <c r="A24" s="80"/>
      <c r="B24" s="131"/>
      <c r="C24" s="80"/>
      <c r="D24" s="81"/>
      <c r="E24" s="130"/>
      <c r="F24" s="128">
        <f t="shared" si="4"/>
        <v>0</v>
      </c>
      <c r="G24" s="130"/>
      <c r="H24" s="130">
        <f t="shared" si="5"/>
        <v>0</v>
      </c>
      <c r="I24" s="129" t="str">
        <f t="shared" si="6"/>
        <v>OK</v>
      </c>
      <c r="J24" s="130"/>
      <c r="K24" s="130">
        <f t="shared" si="7"/>
        <v>0</v>
      </c>
      <c r="L24" s="129" t="str">
        <f t="shared" si="8"/>
        <v>OK</v>
      </c>
    </row>
    <row r="25" spans="1:12" ht="15" x14ac:dyDescent="0.25">
      <c r="A25" s="80"/>
      <c r="B25" s="130" t="s">
        <v>109</v>
      </c>
      <c r="C25" s="80"/>
      <c r="D25" s="81"/>
      <c r="E25" s="130"/>
      <c r="F25" s="128">
        <f t="shared" si="4"/>
        <v>0</v>
      </c>
      <c r="G25" s="130"/>
      <c r="H25" s="130">
        <f t="shared" si="5"/>
        <v>0</v>
      </c>
      <c r="I25" s="129" t="str">
        <f t="shared" si="6"/>
        <v>OK</v>
      </c>
      <c r="J25" s="130"/>
      <c r="K25" s="130">
        <f t="shared" si="7"/>
        <v>0</v>
      </c>
      <c r="L25" s="129" t="str">
        <f t="shared" si="8"/>
        <v>OK</v>
      </c>
    </row>
    <row r="26" spans="1:12" ht="15" x14ac:dyDescent="0.25">
      <c r="A26" s="80"/>
      <c r="B26" s="131"/>
      <c r="C26" s="80"/>
      <c r="D26" s="81"/>
      <c r="E26" s="130"/>
      <c r="F26" s="128">
        <f t="shared" si="4"/>
        <v>0</v>
      </c>
      <c r="G26" s="130"/>
      <c r="H26" s="130">
        <f t="shared" si="5"/>
        <v>0</v>
      </c>
      <c r="I26" s="129" t="str">
        <f t="shared" si="6"/>
        <v>OK</v>
      </c>
      <c r="J26" s="130"/>
      <c r="K26" s="130">
        <f t="shared" si="7"/>
        <v>0</v>
      </c>
      <c r="L26" s="129" t="str">
        <f t="shared" si="8"/>
        <v>OK</v>
      </c>
    </row>
    <row r="27" spans="1:12" ht="15" x14ac:dyDescent="0.25">
      <c r="A27" s="80">
        <v>2</v>
      </c>
      <c r="B27" s="131" t="s">
        <v>110</v>
      </c>
      <c r="C27" s="80"/>
      <c r="D27" s="81"/>
      <c r="E27" s="130"/>
      <c r="F27" s="128">
        <f t="shared" si="4"/>
        <v>0</v>
      </c>
      <c r="G27" s="130"/>
      <c r="H27" s="130">
        <f t="shared" si="5"/>
        <v>0</v>
      </c>
      <c r="I27" s="129" t="str">
        <f t="shared" si="6"/>
        <v>OK</v>
      </c>
      <c r="J27" s="130"/>
      <c r="K27" s="130">
        <f t="shared" si="7"/>
        <v>0</v>
      </c>
      <c r="L27" s="129" t="str">
        <f t="shared" si="8"/>
        <v>OK</v>
      </c>
    </row>
    <row r="28" spans="1:12" ht="25.5" x14ac:dyDescent="0.25">
      <c r="A28" s="80">
        <v>2.1</v>
      </c>
      <c r="B28" s="131" t="s">
        <v>111</v>
      </c>
      <c r="C28" s="80" t="s">
        <v>11</v>
      </c>
      <c r="D28" s="81">
        <v>3361.96</v>
      </c>
      <c r="E28" s="130">
        <v>7917</v>
      </c>
      <c r="F28" s="128">
        <f t="shared" si="4"/>
        <v>26616637</v>
      </c>
      <c r="G28" s="130">
        <v>7866</v>
      </c>
      <c r="H28" s="130">
        <f t="shared" si="5"/>
        <v>26445177</v>
      </c>
      <c r="I28" s="129" t="str">
        <f t="shared" si="6"/>
        <v>OK</v>
      </c>
      <c r="J28" s="130">
        <v>7873</v>
      </c>
      <c r="K28" s="130">
        <f t="shared" si="7"/>
        <v>26468711</v>
      </c>
      <c r="L28" s="129" t="str">
        <f t="shared" si="8"/>
        <v>OK</v>
      </c>
    </row>
    <row r="29" spans="1:12" ht="38.25" x14ac:dyDescent="0.25">
      <c r="A29" s="80">
        <v>2.2000000000000002</v>
      </c>
      <c r="B29" s="131" t="s">
        <v>112</v>
      </c>
      <c r="C29" s="80" t="s">
        <v>11</v>
      </c>
      <c r="D29" s="81">
        <v>3361.96</v>
      </c>
      <c r="E29" s="130">
        <v>35244</v>
      </c>
      <c r="F29" s="128">
        <f t="shared" si="4"/>
        <v>118488918</v>
      </c>
      <c r="G29" s="130">
        <v>35015</v>
      </c>
      <c r="H29" s="130">
        <f t="shared" si="5"/>
        <v>117719029</v>
      </c>
      <c r="I29" s="129" t="str">
        <f t="shared" si="6"/>
        <v>OK</v>
      </c>
      <c r="J29" s="130">
        <v>35050</v>
      </c>
      <c r="K29" s="130">
        <f t="shared" si="7"/>
        <v>117836698</v>
      </c>
      <c r="L29" s="129" t="str">
        <f t="shared" si="8"/>
        <v>OK</v>
      </c>
    </row>
    <row r="30" spans="1:12" ht="25.5" x14ac:dyDescent="0.25">
      <c r="A30" s="80">
        <v>2.2999999999999998</v>
      </c>
      <c r="B30" s="131" t="s">
        <v>113</v>
      </c>
      <c r="C30" s="80" t="s">
        <v>11</v>
      </c>
      <c r="D30" s="81">
        <v>1209.3900000000001</v>
      </c>
      <c r="E30" s="130">
        <v>57547</v>
      </c>
      <c r="F30" s="128">
        <f t="shared" si="4"/>
        <v>69596766</v>
      </c>
      <c r="G30" s="130">
        <v>57173</v>
      </c>
      <c r="H30" s="130">
        <f t="shared" si="5"/>
        <v>69144454</v>
      </c>
      <c r="I30" s="129" t="str">
        <f t="shared" si="6"/>
        <v>OK</v>
      </c>
      <c r="J30" s="130">
        <v>57230</v>
      </c>
      <c r="K30" s="130">
        <f t="shared" si="7"/>
        <v>69213390</v>
      </c>
      <c r="L30" s="129" t="str">
        <f t="shared" si="8"/>
        <v>OK</v>
      </c>
    </row>
    <row r="31" spans="1:12" ht="25.5" x14ac:dyDescent="0.25">
      <c r="A31" s="80" t="s">
        <v>114</v>
      </c>
      <c r="B31" s="131" t="s">
        <v>115</v>
      </c>
      <c r="C31" s="80" t="s">
        <v>11</v>
      </c>
      <c r="D31" s="81">
        <v>284.31</v>
      </c>
      <c r="E31" s="130">
        <v>42660</v>
      </c>
      <c r="F31" s="128">
        <f t="shared" si="4"/>
        <v>12128665</v>
      </c>
      <c r="G31" s="130">
        <v>42383</v>
      </c>
      <c r="H31" s="130">
        <f t="shared" si="5"/>
        <v>12049911</v>
      </c>
      <c r="I31" s="129" t="str">
        <f t="shared" si="6"/>
        <v>OK</v>
      </c>
      <c r="J31" s="130">
        <v>42425</v>
      </c>
      <c r="K31" s="130">
        <f t="shared" si="7"/>
        <v>12061852</v>
      </c>
      <c r="L31" s="129" t="str">
        <f t="shared" si="8"/>
        <v>OK</v>
      </c>
    </row>
    <row r="32" spans="1:12" ht="15" x14ac:dyDescent="0.25">
      <c r="A32" s="80"/>
      <c r="B32" s="131"/>
      <c r="C32" s="80"/>
      <c r="D32" s="81"/>
      <c r="E32" s="130"/>
      <c r="F32" s="128">
        <f t="shared" si="4"/>
        <v>0</v>
      </c>
      <c r="G32" s="130"/>
      <c r="H32" s="130">
        <f t="shared" si="5"/>
        <v>0</v>
      </c>
      <c r="I32" s="129" t="str">
        <f t="shared" si="6"/>
        <v>OK</v>
      </c>
      <c r="J32" s="130"/>
      <c r="K32" s="130">
        <f t="shared" si="7"/>
        <v>0</v>
      </c>
      <c r="L32" s="129" t="str">
        <f t="shared" si="8"/>
        <v>OK</v>
      </c>
    </row>
    <row r="33" spans="1:12" ht="15" x14ac:dyDescent="0.25">
      <c r="A33" s="80"/>
      <c r="B33" s="130" t="s">
        <v>116</v>
      </c>
      <c r="C33" s="80"/>
      <c r="D33" s="81"/>
      <c r="E33" s="130"/>
      <c r="F33" s="128">
        <f t="shared" si="4"/>
        <v>0</v>
      </c>
      <c r="G33" s="130"/>
      <c r="H33" s="130">
        <f t="shared" si="5"/>
        <v>0</v>
      </c>
      <c r="I33" s="129" t="str">
        <f t="shared" si="6"/>
        <v>OK</v>
      </c>
      <c r="J33" s="130"/>
      <c r="K33" s="130">
        <f t="shared" si="7"/>
        <v>0</v>
      </c>
      <c r="L33" s="129" t="str">
        <f t="shared" si="8"/>
        <v>OK</v>
      </c>
    </row>
    <row r="34" spans="1:12" ht="15" x14ac:dyDescent="0.25">
      <c r="A34" s="80"/>
      <c r="B34" s="131"/>
      <c r="C34" s="80"/>
      <c r="D34" s="81"/>
      <c r="E34" s="130"/>
      <c r="F34" s="128">
        <f t="shared" si="4"/>
        <v>0</v>
      </c>
      <c r="G34" s="130"/>
      <c r="H34" s="130">
        <f t="shared" si="5"/>
        <v>0</v>
      </c>
      <c r="I34" s="129" t="str">
        <f t="shared" si="6"/>
        <v>OK</v>
      </c>
      <c r="J34" s="130"/>
      <c r="K34" s="130">
        <f t="shared" si="7"/>
        <v>0</v>
      </c>
      <c r="L34" s="129" t="str">
        <f t="shared" si="8"/>
        <v>OK</v>
      </c>
    </row>
    <row r="35" spans="1:12" ht="15" x14ac:dyDescent="0.25">
      <c r="A35" s="80">
        <v>3</v>
      </c>
      <c r="B35" s="131" t="s">
        <v>117</v>
      </c>
      <c r="C35" s="80"/>
      <c r="D35" s="81"/>
      <c r="E35" s="130"/>
      <c r="F35" s="128">
        <f t="shared" si="4"/>
        <v>0</v>
      </c>
      <c r="G35" s="130"/>
      <c r="H35" s="130">
        <f t="shared" si="5"/>
        <v>0</v>
      </c>
      <c r="I35" s="129" t="str">
        <f t="shared" si="6"/>
        <v>OK</v>
      </c>
      <c r="J35" s="130"/>
      <c r="K35" s="130">
        <f t="shared" si="7"/>
        <v>0</v>
      </c>
      <c r="L35" s="129" t="str">
        <f t="shared" si="8"/>
        <v>OK</v>
      </c>
    </row>
    <row r="36" spans="1:12" ht="15" x14ac:dyDescent="0.25">
      <c r="A36" s="80">
        <v>3.1</v>
      </c>
      <c r="B36" s="131" t="s">
        <v>118</v>
      </c>
      <c r="C36" s="80" t="s">
        <v>7</v>
      </c>
      <c r="D36" s="81">
        <v>335.86</v>
      </c>
      <c r="E36" s="130">
        <v>46847</v>
      </c>
      <c r="F36" s="128">
        <f t="shared" si="4"/>
        <v>15734033</v>
      </c>
      <c r="G36" s="130">
        <v>46542</v>
      </c>
      <c r="H36" s="130">
        <f t="shared" si="5"/>
        <v>15631596</v>
      </c>
      <c r="I36" s="129" t="str">
        <f t="shared" si="6"/>
        <v>OK</v>
      </c>
      <c r="J36" s="130">
        <v>46589</v>
      </c>
      <c r="K36" s="130">
        <f t="shared" si="7"/>
        <v>15647382</v>
      </c>
      <c r="L36" s="129" t="str">
        <f t="shared" si="8"/>
        <v>OK</v>
      </c>
    </row>
    <row r="37" spans="1:12" ht="15" x14ac:dyDescent="0.25">
      <c r="A37" s="80">
        <v>3.2</v>
      </c>
      <c r="B37" s="131" t="s">
        <v>119</v>
      </c>
      <c r="C37" s="80" t="s">
        <v>11</v>
      </c>
      <c r="D37" s="81">
        <v>331.34</v>
      </c>
      <c r="E37" s="130">
        <v>922782</v>
      </c>
      <c r="F37" s="128">
        <f t="shared" si="4"/>
        <v>305754588</v>
      </c>
      <c r="G37" s="130">
        <v>916784</v>
      </c>
      <c r="H37" s="130">
        <f t="shared" si="5"/>
        <v>303767211</v>
      </c>
      <c r="I37" s="129" t="str">
        <f t="shared" si="6"/>
        <v>OK</v>
      </c>
      <c r="J37" s="130">
        <v>917707</v>
      </c>
      <c r="K37" s="130">
        <f t="shared" si="7"/>
        <v>304073037</v>
      </c>
      <c r="L37" s="129" t="str">
        <f t="shared" si="8"/>
        <v>OK</v>
      </c>
    </row>
    <row r="38" spans="1:12" ht="38.25" x14ac:dyDescent="0.25">
      <c r="A38" s="80">
        <v>3.3</v>
      </c>
      <c r="B38" s="131" t="s">
        <v>120</v>
      </c>
      <c r="C38" s="80" t="s">
        <v>11</v>
      </c>
      <c r="D38" s="81">
        <v>277.58999999999997</v>
      </c>
      <c r="E38" s="130">
        <v>922782</v>
      </c>
      <c r="F38" s="128">
        <f t="shared" si="4"/>
        <v>256155055</v>
      </c>
      <c r="G38" s="130">
        <v>916784</v>
      </c>
      <c r="H38" s="130">
        <f t="shared" si="5"/>
        <v>254490071</v>
      </c>
      <c r="I38" s="129" t="str">
        <f t="shared" si="6"/>
        <v>OK</v>
      </c>
      <c r="J38" s="130">
        <v>917707</v>
      </c>
      <c r="K38" s="130">
        <f t="shared" si="7"/>
        <v>254746286</v>
      </c>
      <c r="L38" s="129" t="str">
        <f t="shared" si="8"/>
        <v>OK</v>
      </c>
    </row>
    <row r="39" spans="1:12" ht="38.25" x14ac:dyDescent="0.25">
      <c r="A39" s="80">
        <v>3.4</v>
      </c>
      <c r="B39" s="131" t="s">
        <v>121</v>
      </c>
      <c r="C39" s="80" t="s">
        <v>11</v>
      </c>
      <c r="D39" s="81">
        <v>371.83</v>
      </c>
      <c r="E39" s="130">
        <v>922782</v>
      </c>
      <c r="F39" s="128">
        <f t="shared" si="4"/>
        <v>343118031</v>
      </c>
      <c r="G39" s="130">
        <v>916784</v>
      </c>
      <c r="H39" s="130">
        <f t="shared" si="5"/>
        <v>340887795</v>
      </c>
      <c r="I39" s="129" t="str">
        <f t="shared" si="6"/>
        <v>OK</v>
      </c>
      <c r="J39" s="130">
        <v>917707</v>
      </c>
      <c r="K39" s="130">
        <f t="shared" si="7"/>
        <v>341230994</v>
      </c>
      <c r="L39" s="129" t="str">
        <f t="shared" si="8"/>
        <v>OK</v>
      </c>
    </row>
    <row r="40" spans="1:12" ht="15" x14ac:dyDescent="0.25">
      <c r="A40" s="80">
        <v>3.5</v>
      </c>
      <c r="B40" s="131" t="s">
        <v>122</v>
      </c>
      <c r="C40" s="80" t="s">
        <v>123</v>
      </c>
      <c r="D40" s="81">
        <v>168109.04</v>
      </c>
      <c r="E40" s="130">
        <v>4601</v>
      </c>
      <c r="F40" s="128">
        <f t="shared" si="4"/>
        <v>773469693</v>
      </c>
      <c r="G40" s="130">
        <v>4571</v>
      </c>
      <c r="H40" s="130">
        <f t="shared" si="5"/>
        <v>768426422</v>
      </c>
      <c r="I40" s="129" t="str">
        <f t="shared" si="6"/>
        <v>OK</v>
      </c>
      <c r="J40" s="130">
        <v>4576</v>
      </c>
      <c r="K40" s="130">
        <f t="shared" si="7"/>
        <v>769266967</v>
      </c>
      <c r="L40" s="129" t="str">
        <f t="shared" si="8"/>
        <v>OK</v>
      </c>
    </row>
    <row r="41" spans="1:12" ht="15" x14ac:dyDescent="0.25">
      <c r="A41" s="80">
        <v>3.6</v>
      </c>
      <c r="B41" s="131" t="s">
        <v>124</v>
      </c>
      <c r="C41" s="80" t="s">
        <v>11</v>
      </c>
      <c r="D41" s="81">
        <v>239.74</v>
      </c>
      <c r="E41" s="130">
        <v>922783</v>
      </c>
      <c r="F41" s="128">
        <f t="shared" si="4"/>
        <v>221227996</v>
      </c>
      <c r="G41" s="130">
        <v>916785</v>
      </c>
      <c r="H41" s="130">
        <f t="shared" si="5"/>
        <v>219790036</v>
      </c>
      <c r="I41" s="129" t="str">
        <f t="shared" si="6"/>
        <v>OK</v>
      </c>
      <c r="J41" s="130">
        <v>917708</v>
      </c>
      <c r="K41" s="130">
        <f t="shared" si="7"/>
        <v>220011316</v>
      </c>
      <c r="L41" s="129" t="str">
        <f t="shared" si="8"/>
        <v>OK</v>
      </c>
    </row>
    <row r="42" spans="1:12" ht="25.5" x14ac:dyDescent="0.25">
      <c r="A42" s="80">
        <v>3.7</v>
      </c>
      <c r="B42" s="131" t="s">
        <v>125</v>
      </c>
      <c r="C42" s="80" t="s">
        <v>11</v>
      </c>
      <c r="D42" s="81">
        <v>29.32</v>
      </c>
      <c r="E42" s="130">
        <v>197493</v>
      </c>
      <c r="F42" s="128">
        <f t="shared" si="4"/>
        <v>5790495</v>
      </c>
      <c r="G42" s="130">
        <v>196209</v>
      </c>
      <c r="H42" s="130">
        <f t="shared" si="5"/>
        <v>5752848</v>
      </c>
      <c r="I42" s="129" t="str">
        <f t="shared" si="6"/>
        <v>OK</v>
      </c>
      <c r="J42" s="130">
        <v>196407</v>
      </c>
      <c r="K42" s="130">
        <f t="shared" si="7"/>
        <v>5758653</v>
      </c>
      <c r="L42" s="129" t="str">
        <f t="shared" si="8"/>
        <v>OK</v>
      </c>
    </row>
    <row r="43" spans="1:12" ht="15" x14ac:dyDescent="0.25">
      <c r="A43" s="80">
        <v>3.8</v>
      </c>
      <c r="B43" s="131" t="s">
        <v>126</v>
      </c>
      <c r="C43" s="80" t="s">
        <v>7</v>
      </c>
      <c r="D43" s="81">
        <v>17.16</v>
      </c>
      <c r="E43" s="130">
        <v>621483</v>
      </c>
      <c r="F43" s="128">
        <f t="shared" si="4"/>
        <v>10664648</v>
      </c>
      <c r="G43" s="130">
        <v>617443</v>
      </c>
      <c r="H43" s="130">
        <f t="shared" si="5"/>
        <v>10595322</v>
      </c>
      <c r="I43" s="129" t="str">
        <f t="shared" si="6"/>
        <v>OK</v>
      </c>
      <c r="J43" s="130">
        <v>618065</v>
      </c>
      <c r="K43" s="130">
        <f t="shared" si="7"/>
        <v>10605995</v>
      </c>
      <c r="L43" s="129" t="str">
        <f t="shared" si="8"/>
        <v>OK</v>
      </c>
    </row>
    <row r="44" spans="1:12" ht="15" x14ac:dyDescent="0.25">
      <c r="A44" s="80">
        <v>3.9</v>
      </c>
      <c r="B44" s="131" t="s">
        <v>127</v>
      </c>
      <c r="C44" s="80" t="s">
        <v>88</v>
      </c>
      <c r="D44" s="81">
        <v>544.85</v>
      </c>
      <c r="E44" s="130">
        <v>88651</v>
      </c>
      <c r="F44" s="128">
        <f t="shared" si="4"/>
        <v>48301497</v>
      </c>
      <c r="G44" s="130">
        <v>88075</v>
      </c>
      <c r="H44" s="130">
        <f t="shared" si="5"/>
        <v>47987664</v>
      </c>
      <c r="I44" s="129" t="str">
        <f t="shared" si="6"/>
        <v>OK</v>
      </c>
      <c r="J44" s="130">
        <v>88163</v>
      </c>
      <c r="K44" s="130">
        <f t="shared" si="7"/>
        <v>48035611</v>
      </c>
      <c r="L44" s="129" t="str">
        <f t="shared" si="8"/>
        <v>OK</v>
      </c>
    </row>
    <row r="45" spans="1:12" ht="15" x14ac:dyDescent="0.25">
      <c r="A45" s="80">
        <v>3.1</v>
      </c>
      <c r="B45" s="131" t="s">
        <v>128</v>
      </c>
      <c r="C45" s="80" t="s">
        <v>7</v>
      </c>
      <c r="D45" s="81">
        <v>3230.46</v>
      </c>
      <c r="E45" s="130">
        <v>148520</v>
      </c>
      <c r="F45" s="128">
        <f t="shared" si="4"/>
        <v>479787919</v>
      </c>
      <c r="G45" s="130">
        <v>147035</v>
      </c>
      <c r="H45" s="130">
        <f t="shared" si="5"/>
        <v>474990686</v>
      </c>
      <c r="I45" s="129" t="str">
        <f t="shared" si="6"/>
        <v>OK</v>
      </c>
      <c r="J45" s="130">
        <v>147703</v>
      </c>
      <c r="K45" s="130">
        <f t="shared" si="7"/>
        <v>477148633</v>
      </c>
      <c r="L45" s="129" t="str">
        <f t="shared" si="8"/>
        <v>OK</v>
      </c>
    </row>
    <row r="46" spans="1:12" ht="15" x14ac:dyDescent="0.25">
      <c r="A46" s="80">
        <v>3.11</v>
      </c>
      <c r="B46" s="131" t="s">
        <v>129</v>
      </c>
      <c r="C46" s="80" t="s">
        <v>7</v>
      </c>
      <c r="D46" s="81">
        <v>409.29</v>
      </c>
      <c r="E46" s="130">
        <v>87171</v>
      </c>
      <c r="F46" s="128">
        <f t="shared" si="4"/>
        <v>35678219</v>
      </c>
      <c r="G46" s="130">
        <v>86604</v>
      </c>
      <c r="H46" s="130">
        <f t="shared" si="5"/>
        <v>35446151</v>
      </c>
      <c r="I46" s="129" t="str">
        <f t="shared" si="6"/>
        <v>OK</v>
      </c>
      <c r="J46" s="130">
        <v>86692</v>
      </c>
      <c r="K46" s="130">
        <f t="shared" si="7"/>
        <v>35482169</v>
      </c>
      <c r="L46" s="129" t="str">
        <f t="shared" si="8"/>
        <v>OK</v>
      </c>
    </row>
    <row r="47" spans="1:12" ht="15" x14ac:dyDescent="0.25">
      <c r="A47" s="80">
        <v>3.12</v>
      </c>
      <c r="B47" s="131" t="s">
        <v>130</v>
      </c>
      <c r="C47" s="80" t="s">
        <v>123</v>
      </c>
      <c r="D47" s="81">
        <v>4830</v>
      </c>
      <c r="E47" s="130">
        <v>5954</v>
      </c>
      <c r="F47" s="128">
        <f t="shared" si="4"/>
        <v>28757820</v>
      </c>
      <c r="G47" s="130">
        <v>5915</v>
      </c>
      <c r="H47" s="130">
        <f t="shared" si="5"/>
        <v>28569450</v>
      </c>
      <c r="I47" s="129" t="str">
        <f t="shared" si="6"/>
        <v>OK</v>
      </c>
      <c r="J47" s="130">
        <v>5921</v>
      </c>
      <c r="K47" s="130">
        <f t="shared" si="7"/>
        <v>28598430</v>
      </c>
      <c r="L47" s="129" t="str">
        <f t="shared" si="8"/>
        <v>OK</v>
      </c>
    </row>
    <row r="48" spans="1:12" ht="15" x14ac:dyDescent="0.25">
      <c r="A48" s="80">
        <v>3.13</v>
      </c>
      <c r="B48" s="131" t="s">
        <v>131</v>
      </c>
      <c r="C48" s="80" t="s">
        <v>11</v>
      </c>
      <c r="D48" s="81">
        <v>32.33</v>
      </c>
      <c r="E48" s="130">
        <v>715050</v>
      </c>
      <c r="F48" s="128">
        <f t="shared" si="4"/>
        <v>23117567</v>
      </c>
      <c r="G48" s="130">
        <v>710402</v>
      </c>
      <c r="H48" s="130">
        <f t="shared" si="5"/>
        <v>22967297</v>
      </c>
      <c r="I48" s="129" t="str">
        <f t="shared" si="6"/>
        <v>OK</v>
      </c>
      <c r="J48" s="130">
        <v>711117</v>
      </c>
      <c r="K48" s="130">
        <f t="shared" si="7"/>
        <v>22990413</v>
      </c>
      <c r="L48" s="129" t="str">
        <f t="shared" si="8"/>
        <v>OK</v>
      </c>
    </row>
    <row r="49" spans="1:12" ht="15" x14ac:dyDescent="0.25">
      <c r="A49" s="80">
        <v>3.14</v>
      </c>
      <c r="B49" s="131" t="s">
        <v>132</v>
      </c>
      <c r="C49" s="80" t="s">
        <v>11</v>
      </c>
      <c r="D49" s="81">
        <v>25.63</v>
      </c>
      <c r="E49" s="130">
        <v>983405</v>
      </c>
      <c r="F49" s="128">
        <f t="shared" si="4"/>
        <v>25204670</v>
      </c>
      <c r="G49" s="130">
        <v>977013</v>
      </c>
      <c r="H49" s="130">
        <f t="shared" si="5"/>
        <v>25040843</v>
      </c>
      <c r="I49" s="129" t="str">
        <f t="shared" si="6"/>
        <v>OK</v>
      </c>
      <c r="J49" s="130">
        <v>977996</v>
      </c>
      <c r="K49" s="130">
        <f t="shared" si="7"/>
        <v>25066037</v>
      </c>
      <c r="L49" s="129" t="str">
        <f t="shared" si="8"/>
        <v>OK</v>
      </c>
    </row>
    <row r="50" spans="1:12" ht="15" x14ac:dyDescent="0.25">
      <c r="A50" s="80"/>
      <c r="B50" s="131"/>
      <c r="C50" s="80"/>
      <c r="D50" s="81"/>
      <c r="E50" s="130"/>
      <c r="F50" s="128">
        <f t="shared" si="4"/>
        <v>0</v>
      </c>
      <c r="G50" s="130"/>
      <c r="H50" s="130">
        <f t="shared" si="5"/>
        <v>0</v>
      </c>
      <c r="I50" s="129" t="str">
        <f t="shared" si="6"/>
        <v>OK</v>
      </c>
      <c r="J50" s="130"/>
      <c r="K50" s="130">
        <f t="shared" si="7"/>
        <v>0</v>
      </c>
      <c r="L50" s="129" t="str">
        <f t="shared" si="8"/>
        <v>OK</v>
      </c>
    </row>
    <row r="51" spans="1:12" ht="15" x14ac:dyDescent="0.25">
      <c r="A51" s="80"/>
      <c r="B51" s="130" t="s">
        <v>133</v>
      </c>
      <c r="C51" s="80"/>
      <c r="D51" s="81"/>
      <c r="E51" s="130"/>
      <c r="F51" s="128">
        <f t="shared" si="4"/>
        <v>0</v>
      </c>
      <c r="G51" s="130"/>
      <c r="H51" s="130">
        <f t="shared" si="5"/>
        <v>0</v>
      </c>
      <c r="I51" s="129" t="str">
        <f t="shared" si="6"/>
        <v>OK</v>
      </c>
      <c r="J51" s="130"/>
      <c r="K51" s="130">
        <f t="shared" si="7"/>
        <v>0</v>
      </c>
      <c r="L51" s="129" t="str">
        <f t="shared" si="8"/>
        <v>OK</v>
      </c>
    </row>
    <row r="52" spans="1:12" ht="15" x14ac:dyDescent="0.25">
      <c r="A52" s="80"/>
      <c r="B52" s="131"/>
      <c r="C52" s="80"/>
      <c r="D52" s="81"/>
      <c r="E52" s="130"/>
      <c r="F52" s="128">
        <f t="shared" si="4"/>
        <v>0</v>
      </c>
      <c r="G52" s="130"/>
      <c r="H52" s="130">
        <f t="shared" si="5"/>
        <v>0</v>
      </c>
      <c r="I52" s="129" t="str">
        <f t="shared" si="6"/>
        <v>OK</v>
      </c>
      <c r="J52" s="130"/>
      <c r="K52" s="130">
        <f t="shared" si="7"/>
        <v>0</v>
      </c>
      <c r="L52" s="129" t="str">
        <f t="shared" si="8"/>
        <v>OK</v>
      </c>
    </row>
    <row r="53" spans="1:12" ht="15" x14ac:dyDescent="0.25">
      <c r="A53" s="80">
        <v>4</v>
      </c>
      <c r="B53" s="131" t="s">
        <v>134</v>
      </c>
      <c r="C53" s="80"/>
      <c r="D53" s="81"/>
      <c r="E53" s="130"/>
      <c r="F53" s="128">
        <f t="shared" si="4"/>
        <v>0</v>
      </c>
      <c r="G53" s="130"/>
      <c r="H53" s="130">
        <f t="shared" si="5"/>
        <v>0</v>
      </c>
      <c r="I53" s="129" t="str">
        <f t="shared" si="6"/>
        <v>OK</v>
      </c>
      <c r="J53" s="130"/>
      <c r="K53" s="130">
        <f t="shared" si="7"/>
        <v>0</v>
      </c>
      <c r="L53" s="129" t="str">
        <f t="shared" si="8"/>
        <v>OK</v>
      </c>
    </row>
    <row r="54" spans="1:12" ht="15" x14ac:dyDescent="0.25">
      <c r="A54" s="80">
        <v>4.0999999999999996</v>
      </c>
      <c r="B54" s="131" t="s">
        <v>135</v>
      </c>
      <c r="C54" s="80" t="s">
        <v>88</v>
      </c>
      <c r="D54" s="81">
        <v>67.78</v>
      </c>
      <c r="E54" s="130">
        <v>21509.8</v>
      </c>
      <c r="F54" s="128">
        <f t="shared" si="4"/>
        <v>1457934</v>
      </c>
      <c r="G54" s="130">
        <v>21370</v>
      </c>
      <c r="H54" s="130">
        <f t="shared" si="5"/>
        <v>1448459</v>
      </c>
      <c r="I54" s="129" t="str">
        <f t="shared" si="6"/>
        <v>OK</v>
      </c>
      <c r="J54" s="130">
        <v>21391</v>
      </c>
      <c r="K54" s="130">
        <f t="shared" si="7"/>
        <v>1449882</v>
      </c>
      <c r="L54" s="129" t="str">
        <f t="shared" si="8"/>
        <v>OK</v>
      </c>
    </row>
    <row r="55" spans="1:12" ht="15" x14ac:dyDescent="0.25">
      <c r="A55" s="80">
        <v>4.2</v>
      </c>
      <c r="B55" s="131" t="s">
        <v>136</v>
      </c>
      <c r="C55" s="80" t="s">
        <v>88</v>
      </c>
      <c r="D55" s="81">
        <v>7.65</v>
      </c>
      <c r="E55" s="130">
        <v>21509.8</v>
      </c>
      <c r="F55" s="128">
        <f t="shared" si="4"/>
        <v>164550</v>
      </c>
      <c r="G55" s="130">
        <v>21370</v>
      </c>
      <c r="H55" s="130">
        <f t="shared" si="5"/>
        <v>163481</v>
      </c>
      <c r="I55" s="129" t="str">
        <f t="shared" si="6"/>
        <v>OK</v>
      </c>
      <c r="J55" s="130">
        <v>21391</v>
      </c>
      <c r="K55" s="130">
        <f t="shared" si="7"/>
        <v>163641</v>
      </c>
      <c r="L55" s="129" t="str">
        <f t="shared" si="8"/>
        <v>OK</v>
      </c>
    </row>
    <row r="56" spans="1:12" ht="15" x14ac:dyDescent="0.25">
      <c r="A56" s="80">
        <v>4.3</v>
      </c>
      <c r="B56" s="131" t="s">
        <v>137</v>
      </c>
      <c r="C56" s="80" t="s">
        <v>88</v>
      </c>
      <c r="D56" s="81">
        <v>64.59</v>
      </c>
      <c r="E56" s="130">
        <v>21510</v>
      </c>
      <c r="F56" s="128">
        <f t="shared" si="4"/>
        <v>1389331</v>
      </c>
      <c r="G56" s="130">
        <v>21370</v>
      </c>
      <c r="H56" s="130">
        <f t="shared" si="5"/>
        <v>1380288</v>
      </c>
      <c r="I56" s="129" t="str">
        <f t="shared" si="6"/>
        <v>OK</v>
      </c>
      <c r="J56" s="130">
        <v>21392</v>
      </c>
      <c r="K56" s="130">
        <f t="shared" si="7"/>
        <v>1381709</v>
      </c>
      <c r="L56" s="129" t="str">
        <f t="shared" si="8"/>
        <v>OK</v>
      </c>
    </row>
    <row r="57" spans="1:12" ht="15" x14ac:dyDescent="0.25">
      <c r="A57" s="80">
        <v>4.4000000000000004</v>
      </c>
      <c r="B57" s="131" t="s">
        <v>138</v>
      </c>
      <c r="C57" s="80" t="s">
        <v>88</v>
      </c>
      <c r="D57" s="81">
        <v>111.11</v>
      </c>
      <c r="E57" s="130">
        <v>21927</v>
      </c>
      <c r="F57" s="128">
        <f t="shared" si="4"/>
        <v>2436309</v>
      </c>
      <c r="G57" s="130">
        <v>21784</v>
      </c>
      <c r="H57" s="130">
        <f t="shared" si="5"/>
        <v>2420420</v>
      </c>
      <c r="I57" s="129" t="str">
        <f t="shared" si="6"/>
        <v>OK</v>
      </c>
      <c r="J57" s="130">
        <v>21806</v>
      </c>
      <c r="K57" s="130">
        <f t="shared" si="7"/>
        <v>2422865</v>
      </c>
      <c r="L57" s="129" t="str">
        <f t="shared" si="8"/>
        <v>OK</v>
      </c>
    </row>
    <row r="58" spans="1:12" ht="15" x14ac:dyDescent="0.25">
      <c r="A58" s="80">
        <v>4.5</v>
      </c>
      <c r="B58" s="131" t="s">
        <v>139</v>
      </c>
      <c r="C58" s="80" t="s">
        <v>88</v>
      </c>
      <c r="D58" s="81">
        <v>61.62</v>
      </c>
      <c r="E58" s="130">
        <v>21927</v>
      </c>
      <c r="F58" s="128">
        <f t="shared" si="4"/>
        <v>1351142</v>
      </c>
      <c r="G58" s="130">
        <v>21784</v>
      </c>
      <c r="H58" s="130">
        <f t="shared" si="5"/>
        <v>1342330</v>
      </c>
      <c r="I58" s="129" t="str">
        <f t="shared" si="6"/>
        <v>OK</v>
      </c>
      <c r="J58" s="130">
        <v>21806</v>
      </c>
      <c r="K58" s="130">
        <f t="shared" si="7"/>
        <v>1343686</v>
      </c>
      <c r="L58" s="129" t="str">
        <f t="shared" si="8"/>
        <v>OK</v>
      </c>
    </row>
    <row r="59" spans="1:12" ht="15" x14ac:dyDescent="0.25">
      <c r="A59" s="80">
        <v>4.5999999999999996</v>
      </c>
      <c r="B59" s="131" t="s">
        <v>140</v>
      </c>
      <c r="C59" s="80" t="s">
        <v>88</v>
      </c>
      <c r="D59" s="81">
        <v>71.81</v>
      </c>
      <c r="E59" s="130">
        <v>14986</v>
      </c>
      <c r="F59" s="128">
        <f t="shared" si="4"/>
        <v>1076145</v>
      </c>
      <c r="G59" s="130">
        <v>14889</v>
      </c>
      <c r="H59" s="130">
        <f t="shared" si="5"/>
        <v>1069179</v>
      </c>
      <c r="I59" s="129" t="str">
        <f t="shared" si="6"/>
        <v>OK</v>
      </c>
      <c r="J59" s="130">
        <v>14904</v>
      </c>
      <c r="K59" s="130">
        <f t="shared" si="7"/>
        <v>1070256</v>
      </c>
      <c r="L59" s="129" t="str">
        <f t="shared" si="8"/>
        <v>OK</v>
      </c>
    </row>
    <row r="60" spans="1:12" ht="15" x14ac:dyDescent="0.25">
      <c r="A60" s="80">
        <v>4.7</v>
      </c>
      <c r="B60" s="131" t="s">
        <v>141</v>
      </c>
      <c r="C60" s="80" t="s">
        <v>88</v>
      </c>
      <c r="D60" s="81">
        <v>337.5</v>
      </c>
      <c r="E60" s="130">
        <v>10685</v>
      </c>
      <c r="F60" s="128">
        <f t="shared" si="4"/>
        <v>3606188</v>
      </c>
      <c r="G60" s="130">
        <v>10616</v>
      </c>
      <c r="H60" s="130">
        <f t="shared" si="5"/>
        <v>3582900</v>
      </c>
      <c r="I60" s="129" t="str">
        <f t="shared" si="6"/>
        <v>OK</v>
      </c>
      <c r="J60" s="130">
        <v>10626</v>
      </c>
      <c r="K60" s="130">
        <f t="shared" si="7"/>
        <v>3586275</v>
      </c>
      <c r="L60" s="129" t="str">
        <f t="shared" si="8"/>
        <v>OK</v>
      </c>
    </row>
    <row r="61" spans="1:12" ht="25.5" x14ac:dyDescent="0.25">
      <c r="A61" s="80">
        <v>4.8</v>
      </c>
      <c r="B61" s="131" t="s">
        <v>142</v>
      </c>
      <c r="C61" s="80" t="s">
        <v>88</v>
      </c>
      <c r="D61" s="81">
        <v>55.71</v>
      </c>
      <c r="E61" s="130">
        <v>9766</v>
      </c>
      <c r="F61" s="128">
        <f t="shared" si="4"/>
        <v>544064</v>
      </c>
      <c r="G61" s="130">
        <v>9703</v>
      </c>
      <c r="H61" s="130">
        <f t="shared" si="5"/>
        <v>540554</v>
      </c>
      <c r="I61" s="129" t="str">
        <f t="shared" si="6"/>
        <v>OK</v>
      </c>
      <c r="J61" s="130">
        <v>9712</v>
      </c>
      <c r="K61" s="130">
        <f t="shared" si="7"/>
        <v>541056</v>
      </c>
      <c r="L61" s="129" t="str">
        <f t="shared" si="8"/>
        <v>OK</v>
      </c>
    </row>
    <row r="62" spans="1:12" ht="15" x14ac:dyDescent="0.25">
      <c r="A62" s="80">
        <v>4.9000000000000004</v>
      </c>
      <c r="B62" s="131" t="s">
        <v>143</v>
      </c>
      <c r="C62" s="80" t="s">
        <v>2</v>
      </c>
      <c r="D62" s="81">
        <v>1</v>
      </c>
      <c r="E62" s="130">
        <v>45249</v>
      </c>
      <c r="F62" s="128">
        <f t="shared" si="4"/>
        <v>45249</v>
      </c>
      <c r="G62" s="130">
        <v>44955</v>
      </c>
      <c r="H62" s="130">
        <f t="shared" si="5"/>
        <v>44955</v>
      </c>
      <c r="I62" s="129" t="str">
        <f t="shared" si="6"/>
        <v>OK</v>
      </c>
      <c r="J62" s="130">
        <v>45000</v>
      </c>
      <c r="K62" s="130">
        <f t="shared" si="7"/>
        <v>45000</v>
      </c>
      <c r="L62" s="129" t="str">
        <f t="shared" si="8"/>
        <v>OK</v>
      </c>
    </row>
    <row r="63" spans="1:12" ht="15" x14ac:dyDescent="0.25">
      <c r="A63" s="80">
        <v>4.0999999999999996</v>
      </c>
      <c r="B63" s="131" t="s">
        <v>144</v>
      </c>
      <c r="C63" s="80" t="s">
        <v>2</v>
      </c>
      <c r="D63" s="81">
        <v>2</v>
      </c>
      <c r="E63" s="130">
        <v>44529</v>
      </c>
      <c r="F63" s="128">
        <f t="shared" si="4"/>
        <v>89058</v>
      </c>
      <c r="G63" s="130">
        <v>44240</v>
      </c>
      <c r="H63" s="130">
        <f t="shared" si="5"/>
        <v>88480</v>
      </c>
      <c r="I63" s="129" t="str">
        <f t="shared" si="6"/>
        <v>OK</v>
      </c>
      <c r="J63" s="130">
        <v>44284</v>
      </c>
      <c r="K63" s="130">
        <f t="shared" si="7"/>
        <v>88568</v>
      </c>
      <c r="L63" s="129" t="str">
        <f t="shared" si="8"/>
        <v>OK</v>
      </c>
    </row>
    <row r="64" spans="1:12" ht="15" x14ac:dyDescent="0.25">
      <c r="A64" s="80">
        <v>4.1100000000000003</v>
      </c>
      <c r="B64" s="131" t="s">
        <v>145</v>
      </c>
      <c r="C64" s="80" t="s">
        <v>2</v>
      </c>
      <c r="D64" s="81">
        <v>2</v>
      </c>
      <c r="E64" s="130">
        <v>34102</v>
      </c>
      <c r="F64" s="128">
        <f t="shared" si="4"/>
        <v>68204</v>
      </c>
      <c r="G64" s="130">
        <v>33880</v>
      </c>
      <c r="H64" s="130">
        <f t="shared" si="5"/>
        <v>67760</v>
      </c>
      <c r="I64" s="129" t="str">
        <f t="shared" si="6"/>
        <v>OK</v>
      </c>
      <c r="J64" s="130">
        <v>33914</v>
      </c>
      <c r="K64" s="130">
        <f t="shared" si="7"/>
        <v>67828</v>
      </c>
      <c r="L64" s="129" t="str">
        <f t="shared" si="8"/>
        <v>OK</v>
      </c>
    </row>
    <row r="65" spans="1:12" ht="15" x14ac:dyDescent="0.25">
      <c r="A65" s="80">
        <v>4.12</v>
      </c>
      <c r="B65" s="131" t="s">
        <v>146</v>
      </c>
      <c r="C65" s="80" t="s">
        <v>2</v>
      </c>
      <c r="D65" s="81">
        <v>1</v>
      </c>
      <c r="E65" s="130">
        <v>33799</v>
      </c>
      <c r="F65" s="128">
        <f t="shared" si="4"/>
        <v>33799</v>
      </c>
      <c r="G65" s="130">
        <v>33579</v>
      </c>
      <c r="H65" s="130">
        <f t="shared" si="5"/>
        <v>33579</v>
      </c>
      <c r="I65" s="129" t="str">
        <f t="shared" si="6"/>
        <v>OK</v>
      </c>
      <c r="J65" s="130">
        <v>33613</v>
      </c>
      <c r="K65" s="130">
        <f t="shared" si="7"/>
        <v>33613</v>
      </c>
      <c r="L65" s="129" t="str">
        <f t="shared" si="8"/>
        <v>OK</v>
      </c>
    </row>
    <row r="66" spans="1:12" ht="15" x14ac:dyDescent="0.25">
      <c r="A66" s="80">
        <v>4.13</v>
      </c>
      <c r="B66" s="131" t="s">
        <v>147</v>
      </c>
      <c r="C66" s="80" t="s">
        <v>2</v>
      </c>
      <c r="D66" s="81">
        <v>4</v>
      </c>
      <c r="E66" s="130">
        <v>21472</v>
      </c>
      <c r="F66" s="128">
        <f t="shared" si="4"/>
        <v>85888</v>
      </c>
      <c r="G66" s="130">
        <v>21332</v>
      </c>
      <c r="H66" s="130">
        <f t="shared" si="5"/>
        <v>85328</v>
      </c>
      <c r="I66" s="129" t="str">
        <f t="shared" si="6"/>
        <v>OK</v>
      </c>
      <c r="J66" s="130">
        <v>21354</v>
      </c>
      <c r="K66" s="130">
        <f t="shared" si="7"/>
        <v>85416</v>
      </c>
      <c r="L66" s="129" t="str">
        <f t="shared" si="8"/>
        <v>OK</v>
      </c>
    </row>
    <row r="67" spans="1:12" ht="15" x14ac:dyDescent="0.25">
      <c r="A67" s="80">
        <v>4.1399999999999997</v>
      </c>
      <c r="B67" s="131" t="s">
        <v>148</v>
      </c>
      <c r="C67" s="80" t="s">
        <v>2</v>
      </c>
      <c r="D67" s="81">
        <v>1</v>
      </c>
      <c r="E67" s="130">
        <v>19222</v>
      </c>
      <c r="F67" s="128">
        <f t="shared" si="4"/>
        <v>19222</v>
      </c>
      <c r="G67" s="130">
        <v>19097</v>
      </c>
      <c r="H67" s="130">
        <f t="shared" si="5"/>
        <v>19097</v>
      </c>
      <c r="I67" s="129" t="str">
        <f t="shared" si="6"/>
        <v>OK</v>
      </c>
      <c r="J67" s="130">
        <v>19116</v>
      </c>
      <c r="K67" s="130">
        <f t="shared" si="7"/>
        <v>19116</v>
      </c>
      <c r="L67" s="129" t="str">
        <f t="shared" si="8"/>
        <v>OK</v>
      </c>
    </row>
    <row r="68" spans="1:12" ht="15" x14ac:dyDescent="0.25">
      <c r="A68" s="80">
        <v>4.1500000000000004</v>
      </c>
      <c r="B68" s="131" t="s">
        <v>149</v>
      </c>
      <c r="C68" s="80" t="s">
        <v>2</v>
      </c>
      <c r="D68" s="81">
        <v>2</v>
      </c>
      <c r="E68" s="130">
        <v>13671</v>
      </c>
      <c r="F68" s="128">
        <f t="shared" si="4"/>
        <v>27342</v>
      </c>
      <c r="G68" s="130">
        <v>13582</v>
      </c>
      <c r="H68" s="130">
        <f t="shared" si="5"/>
        <v>27164</v>
      </c>
      <c r="I68" s="129" t="str">
        <f t="shared" si="6"/>
        <v>OK</v>
      </c>
      <c r="J68" s="130">
        <v>13596</v>
      </c>
      <c r="K68" s="130">
        <f t="shared" si="7"/>
        <v>27192</v>
      </c>
      <c r="L68" s="129" t="str">
        <f t="shared" si="8"/>
        <v>OK</v>
      </c>
    </row>
    <row r="69" spans="1:12" ht="15" x14ac:dyDescent="0.25">
      <c r="A69" s="80">
        <v>4.16</v>
      </c>
      <c r="B69" s="131" t="s">
        <v>150</v>
      </c>
      <c r="C69" s="80" t="s">
        <v>2</v>
      </c>
      <c r="D69" s="81">
        <v>4</v>
      </c>
      <c r="E69" s="130">
        <v>12372</v>
      </c>
      <c r="F69" s="128">
        <f t="shared" si="4"/>
        <v>49488</v>
      </c>
      <c r="G69" s="130">
        <v>12292</v>
      </c>
      <c r="H69" s="130">
        <f t="shared" si="5"/>
        <v>49168</v>
      </c>
      <c r="I69" s="129" t="str">
        <f t="shared" si="6"/>
        <v>OK</v>
      </c>
      <c r="J69" s="130">
        <v>12304</v>
      </c>
      <c r="K69" s="130">
        <f t="shared" si="7"/>
        <v>49216</v>
      </c>
      <c r="L69" s="129" t="str">
        <f t="shared" si="8"/>
        <v>OK</v>
      </c>
    </row>
    <row r="70" spans="1:12" ht="15" x14ac:dyDescent="0.25">
      <c r="A70" s="80">
        <v>4.17</v>
      </c>
      <c r="B70" s="131" t="s">
        <v>151</v>
      </c>
      <c r="C70" s="80" t="s">
        <v>2</v>
      </c>
      <c r="D70" s="81">
        <v>2</v>
      </c>
      <c r="E70" s="130">
        <v>12372</v>
      </c>
      <c r="F70" s="128">
        <f t="shared" si="4"/>
        <v>24744</v>
      </c>
      <c r="G70" s="130">
        <v>12292</v>
      </c>
      <c r="H70" s="130">
        <f t="shared" si="5"/>
        <v>24584</v>
      </c>
      <c r="I70" s="129" t="str">
        <f t="shared" si="6"/>
        <v>OK</v>
      </c>
      <c r="J70" s="130">
        <v>12304</v>
      </c>
      <c r="K70" s="130">
        <f t="shared" si="7"/>
        <v>24608</v>
      </c>
      <c r="L70" s="129" t="str">
        <f t="shared" si="8"/>
        <v>OK</v>
      </c>
    </row>
    <row r="71" spans="1:12" ht="15" x14ac:dyDescent="0.25">
      <c r="A71" s="80">
        <v>4.18</v>
      </c>
      <c r="B71" s="131" t="s">
        <v>152</v>
      </c>
      <c r="C71" s="80" t="s">
        <v>2</v>
      </c>
      <c r="D71" s="81">
        <v>9</v>
      </c>
      <c r="E71" s="130">
        <v>13361</v>
      </c>
      <c r="F71" s="128">
        <f t="shared" si="4"/>
        <v>120249</v>
      </c>
      <c r="G71" s="130">
        <v>13274</v>
      </c>
      <c r="H71" s="130">
        <f t="shared" si="5"/>
        <v>119466</v>
      </c>
      <c r="I71" s="129" t="str">
        <f t="shared" si="6"/>
        <v>OK</v>
      </c>
      <c r="J71" s="130">
        <v>13288</v>
      </c>
      <c r="K71" s="130">
        <f t="shared" si="7"/>
        <v>119592</v>
      </c>
      <c r="L71" s="129" t="str">
        <f t="shared" si="8"/>
        <v>OK</v>
      </c>
    </row>
    <row r="72" spans="1:12" ht="15" x14ac:dyDescent="0.25">
      <c r="A72" s="80">
        <v>4.1900000000000004</v>
      </c>
      <c r="B72" s="131" t="s">
        <v>153</v>
      </c>
      <c r="C72" s="80" t="s">
        <v>2</v>
      </c>
      <c r="D72" s="81">
        <v>1</v>
      </c>
      <c r="E72" s="130">
        <v>13361</v>
      </c>
      <c r="F72" s="128">
        <f t="shared" si="4"/>
        <v>13361</v>
      </c>
      <c r="G72" s="130">
        <v>13274</v>
      </c>
      <c r="H72" s="130">
        <f t="shared" si="5"/>
        <v>13274</v>
      </c>
      <c r="I72" s="129" t="str">
        <f t="shared" si="6"/>
        <v>OK</v>
      </c>
      <c r="J72" s="130">
        <v>13288</v>
      </c>
      <c r="K72" s="130">
        <f t="shared" si="7"/>
        <v>13288</v>
      </c>
      <c r="L72" s="129" t="str">
        <f t="shared" si="8"/>
        <v>OK</v>
      </c>
    </row>
    <row r="73" spans="1:12" ht="15" x14ac:dyDescent="0.25">
      <c r="A73" s="80">
        <v>4.2</v>
      </c>
      <c r="B73" s="131" t="s">
        <v>154</v>
      </c>
      <c r="C73" s="80" t="s">
        <v>2</v>
      </c>
      <c r="D73" s="81">
        <v>10</v>
      </c>
      <c r="E73" s="130">
        <v>11667</v>
      </c>
      <c r="F73" s="128">
        <f t="shared" si="4"/>
        <v>116670</v>
      </c>
      <c r="G73" s="130">
        <v>11591</v>
      </c>
      <c r="H73" s="130">
        <f t="shared" si="5"/>
        <v>115910</v>
      </c>
      <c r="I73" s="129" t="str">
        <f t="shared" si="6"/>
        <v>OK</v>
      </c>
      <c r="J73" s="130">
        <v>11603</v>
      </c>
      <c r="K73" s="130">
        <f t="shared" si="7"/>
        <v>116030</v>
      </c>
      <c r="L73" s="129" t="str">
        <f t="shared" si="8"/>
        <v>OK</v>
      </c>
    </row>
    <row r="74" spans="1:12" ht="15" x14ac:dyDescent="0.25">
      <c r="A74" s="80">
        <v>4.21</v>
      </c>
      <c r="B74" s="131" t="s">
        <v>155</v>
      </c>
      <c r="C74" s="80" t="s">
        <v>2</v>
      </c>
      <c r="D74" s="81">
        <v>15</v>
      </c>
      <c r="E74" s="130">
        <v>9754</v>
      </c>
      <c r="F74" s="128">
        <f t="shared" ref="F74:F137" si="9">ROUND($D74*E74,0)</f>
        <v>146310</v>
      </c>
      <c r="G74" s="130">
        <v>9691</v>
      </c>
      <c r="H74" s="130">
        <f t="shared" si="5"/>
        <v>145365</v>
      </c>
      <c r="I74" s="129" t="str">
        <f t="shared" si="6"/>
        <v>OK</v>
      </c>
      <c r="J74" s="130">
        <v>9700</v>
      </c>
      <c r="K74" s="130">
        <f t="shared" si="7"/>
        <v>145500</v>
      </c>
      <c r="L74" s="129" t="str">
        <f t="shared" si="8"/>
        <v>OK</v>
      </c>
    </row>
    <row r="75" spans="1:12" ht="15" x14ac:dyDescent="0.25">
      <c r="A75" s="80">
        <v>4.22</v>
      </c>
      <c r="B75" s="131" t="s">
        <v>156</v>
      </c>
      <c r="C75" s="80" t="s">
        <v>2</v>
      </c>
      <c r="D75" s="81">
        <v>2</v>
      </c>
      <c r="E75" s="130">
        <v>9754</v>
      </c>
      <c r="F75" s="128">
        <f t="shared" si="9"/>
        <v>19508</v>
      </c>
      <c r="G75" s="130">
        <v>9691</v>
      </c>
      <c r="H75" s="130">
        <f t="shared" ref="H75:H138" si="10">ROUND($D75*G75,0)</f>
        <v>19382</v>
      </c>
      <c r="I75" s="129" t="str">
        <f t="shared" ref="I75:I138" si="11">+IF(G75&lt;=$E75,"OK","NO OK")</f>
        <v>OK</v>
      </c>
      <c r="J75" s="130">
        <v>9700</v>
      </c>
      <c r="K75" s="130">
        <f t="shared" ref="K75:K138" si="12">ROUND($D75*J75,0)</f>
        <v>19400</v>
      </c>
      <c r="L75" s="129" t="str">
        <f t="shared" ref="L75:L138" si="13">+IF(J75&lt;=$E75,"OK","NO OK")</f>
        <v>OK</v>
      </c>
    </row>
    <row r="76" spans="1:12" ht="15" x14ac:dyDescent="0.25">
      <c r="A76" s="80">
        <v>4.2300000000000004</v>
      </c>
      <c r="B76" s="131" t="s">
        <v>157</v>
      </c>
      <c r="C76" s="80" t="s">
        <v>2</v>
      </c>
      <c r="D76" s="81">
        <v>9</v>
      </c>
      <c r="E76" s="130">
        <v>4432</v>
      </c>
      <c r="F76" s="128">
        <f t="shared" si="9"/>
        <v>39888</v>
      </c>
      <c r="G76" s="130">
        <v>4403</v>
      </c>
      <c r="H76" s="130">
        <f t="shared" si="10"/>
        <v>39627</v>
      </c>
      <c r="I76" s="129" t="str">
        <f t="shared" si="11"/>
        <v>OK</v>
      </c>
      <c r="J76" s="130">
        <v>4408</v>
      </c>
      <c r="K76" s="130">
        <f t="shared" si="12"/>
        <v>39672</v>
      </c>
      <c r="L76" s="129" t="str">
        <f t="shared" si="13"/>
        <v>OK</v>
      </c>
    </row>
    <row r="77" spans="1:12" ht="15" x14ac:dyDescent="0.25">
      <c r="A77" s="80">
        <v>4.24</v>
      </c>
      <c r="B77" s="131" t="s">
        <v>158</v>
      </c>
      <c r="C77" s="80" t="s">
        <v>2</v>
      </c>
      <c r="D77" s="81">
        <v>6</v>
      </c>
      <c r="E77" s="130">
        <v>4169</v>
      </c>
      <c r="F77" s="128">
        <f t="shared" si="9"/>
        <v>25014</v>
      </c>
      <c r="G77" s="130">
        <v>4142</v>
      </c>
      <c r="H77" s="130">
        <f t="shared" si="10"/>
        <v>24852</v>
      </c>
      <c r="I77" s="129" t="str">
        <f t="shared" si="11"/>
        <v>OK</v>
      </c>
      <c r="J77" s="130">
        <v>4146</v>
      </c>
      <c r="K77" s="130">
        <f t="shared" si="12"/>
        <v>24876</v>
      </c>
      <c r="L77" s="129" t="str">
        <f t="shared" si="13"/>
        <v>OK</v>
      </c>
    </row>
    <row r="78" spans="1:12" ht="15" x14ac:dyDescent="0.25">
      <c r="A78" s="80">
        <v>4.25</v>
      </c>
      <c r="B78" s="131" t="s">
        <v>159</v>
      </c>
      <c r="C78" s="80" t="s">
        <v>2</v>
      </c>
      <c r="D78" s="81">
        <v>306</v>
      </c>
      <c r="E78" s="130">
        <v>3249</v>
      </c>
      <c r="F78" s="128">
        <f t="shared" si="9"/>
        <v>994194</v>
      </c>
      <c r="G78" s="130">
        <v>3228</v>
      </c>
      <c r="H78" s="130">
        <f t="shared" si="10"/>
        <v>987768</v>
      </c>
      <c r="I78" s="129" t="str">
        <f t="shared" si="11"/>
        <v>OK</v>
      </c>
      <c r="J78" s="130">
        <v>3231</v>
      </c>
      <c r="K78" s="130">
        <f t="shared" si="12"/>
        <v>988686</v>
      </c>
      <c r="L78" s="129" t="str">
        <f t="shared" si="13"/>
        <v>OK</v>
      </c>
    </row>
    <row r="79" spans="1:12" ht="15" x14ac:dyDescent="0.25">
      <c r="A79" s="80">
        <v>4.26</v>
      </c>
      <c r="B79" s="131" t="s">
        <v>160</v>
      </c>
      <c r="C79" s="80" t="s">
        <v>2</v>
      </c>
      <c r="D79" s="81">
        <v>18</v>
      </c>
      <c r="E79" s="130">
        <v>7358</v>
      </c>
      <c r="F79" s="128">
        <f t="shared" si="9"/>
        <v>132444</v>
      </c>
      <c r="G79" s="130">
        <v>7310</v>
      </c>
      <c r="H79" s="130">
        <f t="shared" si="10"/>
        <v>131580</v>
      </c>
      <c r="I79" s="129" t="str">
        <f t="shared" si="11"/>
        <v>OK</v>
      </c>
      <c r="J79" s="130">
        <v>7318</v>
      </c>
      <c r="K79" s="130">
        <f t="shared" si="12"/>
        <v>131724</v>
      </c>
      <c r="L79" s="129" t="str">
        <f t="shared" si="13"/>
        <v>OK</v>
      </c>
    </row>
    <row r="80" spans="1:12" ht="15" x14ac:dyDescent="0.25">
      <c r="A80" s="80">
        <v>4.2699999999999996</v>
      </c>
      <c r="B80" s="131" t="s">
        <v>161</v>
      </c>
      <c r="C80" s="80" t="s">
        <v>2</v>
      </c>
      <c r="D80" s="81">
        <v>19</v>
      </c>
      <c r="E80" s="130">
        <v>7358</v>
      </c>
      <c r="F80" s="128">
        <f t="shared" si="9"/>
        <v>139802</v>
      </c>
      <c r="G80" s="130">
        <v>7310</v>
      </c>
      <c r="H80" s="130">
        <f t="shared" si="10"/>
        <v>138890</v>
      </c>
      <c r="I80" s="129" t="str">
        <f t="shared" si="11"/>
        <v>OK</v>
      </c>
      <c r="J80" s="130">
        <v>7318</v>
      </c>
      <c r="K80" s="130">
        <f t="shared" si="12"/>
        <v>139042</v>
      </c>
      <c r="L80" s="129" t="str">
        <f t="shared" si="13"/>
        <v>OK</v>
      </c>
    </row>
    <row r="81" spans="1:12" ht="15" x14ac:dyDescent="0.25">
      <c r="A81" s="80">
        <v>4.28</v>
      </c>
      <c r="B81" s="131" t="s">
        <v>162</v>
      </c>
      <c r="C81" s="80" t="s">
        <v>2</v>
      </c>
      <c r="D81" s="81">
        <v>197</v>
      </c>
      <c r="E81" s="130">
        <v>4711</v>
      </c>
      <c r="F81" s="128">
        <f t="shared" si="9"/>
        <v>928067</v>
      </c>
      <c r="G81" s="130">
        <v>4680</v>
      </c>
      <c r="H81" s="130">
        <f t="shared" si="10"/>
        <v>921960</v>
      </c>
      <c r="I81" s="129" t="str">
        <f t="shared" si="11"/>
        <v>OK</v>
      </c>
      <c r="J81" s="130">
        <v>4685</v>
      </c>
      <c r="K81" s="130">
        <f t="shared" si="12"/>
        <v>922945</v>
      </c>
      <c r="L81" s="129" t="str">
        <f t="shared" si="13"/>
        <v>OK</v>
      </c>
    </row>
    <row r="82" spans="1:12" ht="15" x14ac:dyDescent="0.25">
      <c r="A82" s="80">
        <v>4.29</v>
      </c>
      <c r="B82" s="131" t="s">
        <v>163</v>
      </c>
      <c r="C82" s="80" t="s">
        <v>2</v>
      </c>
      <c r="D82" s="81">
        <v>3</v>
      </c>
      <c r="E82" s="130">
        <v>103172</v>
      </c>
      <c r="F82" s="128">
        <f t="shared" si="9"/>
        <v>309516</v>
      </c>
      <c r="G82" s="130">
        <v>102501</v>
      </c>
      <c r="H82" s="130">
        <f t="shared" si="10"/>
        <v>307503</v>
      </c>
      <c r="I82" s="129" t="str">
        <f t="shared" si="11"/>
        <v>OK</v>
      </c>
      <c r="J82" s="130">
        <v>102605</v>
      </c>
      <c r="K82" s="130">
        <f t="shared" si="12"/>
        <v>307815</v>
      </c>
      <c r="L82" s="129" t="str">
        <f t="shared" si="13"/>
        <v>OK</v>
      </c>
    </row>
    <row r="83" spans="1:12" ht="15" x14ac:dyDescent="0.25">
      <c r="A83" s="80">
        <v>4.3</v>
      </c>
      <c r="B83" s="131" t="s">
        <v>164</v>
      </c>
      <c r="C83" s="80" t="s">
        <v>2</v>
      </c>
      <c r="D83" s="81">
        <v>2</v>
      </c>
      <c r="E83" s="130">
        <v>75885</v>
      </c>
      <c r="F83" s="128">
        <f t="shared" si="9"/>
        <v>151770</v>
      </c>
      <c r="G83" s="130">
        <v>75392</v>
      </c>
      <c r="H83" s="130">
        <f t="shared" si="10"/>
        <v>150784</v>
      </c>
      <c r="I83" s="129" t="str">
        <f t="shared" si="11"/>
        <v>OK</v>
      </c>
      <c r="J83" s="130">
        <v>75468</v>
      </c>
      <c r="K83" s="130">
        <f t="shared" si="12"/>
        <v>150936</v>
      </c>
      <c r="L83" s="129" t="str">
        <f t="shared" si="13"/>
        <v>OK</v>
      </c>
    </row>
    <row r="84" spans="1:12" ht="15" x14ac:dyDescent="0.25">
      <c r="A84" s="80">
        <v>4.3099999999999996</v>
      </c>
      <c r="B84" s="131" t="s">
        <v>165</v>
      </c>
      <c r="C84" s="80" t="s">
        <v>2</v>
      </c>
      <c r="D84" s="81">
        <v>6</v>
      </c>
      <c r="E84" s="130">
        <v>43537</v>
      </c>
      <c r="F84" s="128">
        <f t="shared" si="9"/>
        <v>261222</v>
      </c>
      <c r="G84" s="130">
        <v>43254</v>
      </c>
      <c r="H84" s="130">
        <f t="shared" si="10"/>
        <v>259524</v>
      </c>
      <c r="I84" s="129" t="str">
        <f t="shared" si="11"/>
        <v>OK</v>
      </c>
      <c r="J84" s="130">
        <v>43298</v>
      </c>
      <c r="K84" s="130">
        <f t="shared" si="12"/>
        <v>259788</v>
      </c>
      <c r="L84" s="129" t="str">
        <f t="shared" si="13"/>
        <v>OK</v>
      </c>
    </row>
    <row r="85" spans="1:12" ht="15" x14ac:dyDescent="0.25">
      <c r="A85" s="80">
        <v>4.32</v>
      </c>
      <c r="B85" s="131" t="s">
        <v>166</v>
      </c>
      <c r="C85" s="80" t="s">
        <v>2</v>
      </c>
      <c r="D85" s="81">
        <v>15</v>
      </c>
      <c r="E85" s="130">
        <v>30666</v>
      </c>
      <c r="F85" s="128">
        <f t="shared" si="9"/>
        <v>459990</v>
      </c>
      <c r="G85" s="130">
        <v>30467</v>
      </c>
      <c r="H85" s="130">
        <f t="shared" si="10"/>
        <v>457005</v>
      </c>
      <c r="I85" s="129" t="str">
        <f t="shared" si="11"/>
        <v>OK</v>
      </c>
      <c r="J85" s="130">
        <v>30497</v>
      </c>
      <c r="K85" s="130">
        <f t="shared" si="12"/>
        <v>457455</v>
      </c>
      <c r="L85" s="129" t="str">
        <f t="shared" si="13"/>
        <v>OK</v>
      </c>
    </row>
    <row r="86" spans="1:12" ht="15" x14ac:dyDescent="0.25">
      <c r="A86" s="80">
        <v>4.33</v>
      </c>
      <c r="B86" s="131" t="s">
        <v>167</v>
      </c>
      <c r="C86" s="80" t="s">
        <v>2</v>
      </c>
      <c r="D86" s="81">
        <v>17</v>
      </c>
      <c r="E86" s="130">
        <v>22127</v>
      </c>
      <c r="F86" s="128">
        <f t="shared" si="9"/>
        <v>376159</v>
      </c>
      <c r="G86" s="130">
        <v>21983</v>
      </c>
      <c r="H86" s="130">
        <f t="shared" si="10"/>
        <v>373711</v>
      </c>
      <c r="I86" s="129" t="str">
        <f t="shared" si="11"/>
        <v>OK</v>
      </c>
      <c r="J86" s="130">
        <v>22005</v>
      </c>
      <c r="K86" s="130">
        <f t="shared" si="12"/>
        <v>374085</v>
      </c>
      <c r="L86" s="129" t="str">
        <f t="shared" si="13"/>
        <v>OK</v>
      </c>
    </row>
    <row r="87" spans="1:12" ht="15" x14ac:dyDescent="0.25">
      <c r="A87" s="80">
        <v>4.34</v>
      </c>
      <c r="B87" s="131" t="s">
        <v>168</v>
      </c>
      <c r="C87" s="80" t="s">
        <v>2</v>
      </c>
      <c r="D87" s="81">
        <v>1</v>
      </c>
      <c r="E87" s="130">
        <v>7309</v>
      </c>
      <c r="F87" s="128">
        <f t="shared" si="9"/>
        <v>7309</v>
      </c>
      <c r="G87" s="130">
        <v>7261</v>
      </c>
      <c r="H87" s="130">
        <f t="shared" si="10"/>
        <v>7261</v>
      </c>
      <c r="I87" s="129" t="str">
        <f t="shared" si="11"/>
        <v>OK</v>
      </c>
      <c r="J87" s="130">
        <v>7269</v>
      </c>
      <c r="K87" s="130">
        <f t="shared" si="12"/>
        <v>7269</v>
      </c>
      <c r="L87" s="129" t="str">
        <f t="shared" si="13"/>
        <v>OK</v>
      </c>
    </row>
    <row r="88" spans="1:12" ht="15" x14ac:dyDescent="0.25">
      <c r="A88" s="80">
        <v>4.3499999999999996</v>
      </c>
      <c r="B88" s="131" t="s">
        <v>169</v>
      </c>
      <c r="C88" s="80" t="s">
        <v>2</v>
      </c>
      <c r="D88" s="81">
        <v>42</v>
      </c>
      <c r="E88" s="130">
        <v>2851</v>
      </c>
      <c r="F88" s="128">
        <f t="shared" si="9"/>
        <v>119742</v>
      </c>
      <c r="G88" s="130">
        <v>2832</v>
      </c>
      <c r="H88" s="130">
        <f t="shared" si="10"/>
        <v>118944</v>
      </c>
      <c r="I88" s="129" t="str">
        <f t="shared" si="11"/>
        <v>OK</v>
      </c>
      <c r="J88" s="130">
        <v>2835</v>
      </c>
      <c r="K88" s="130">
        <f t="shared" si="12"/>
        <v>119070</v>
      </c>
      <c r="L88" s="129" t="str">
        <f t="shared" si="13"/>
        <v>OK</v>
      </c>
    </row>
    <row r="89" spans="1:12" ht="15" x14ac:dyDescent="0.25">
      <c r="A89" s="80">
        <v>4.3600000000000003</v>
      </c>
      <c r="B89" s="131" t="s">
        <v>170</v>
      </c>
      <c r="C89" s="80" t="s">
        <v>2</v>
      </c>
      <c r="D89" s="81">
        <v>6</v>
      </c>
      <c r="E89" s="130">
        <v>1893</v>
      </c>
      <c r="F89" s="128">
        <f t="shared" si="9"/>
        <v>11358</v>
      </c>
      <c r="G89" s="130">
        <v>1881</v>
      </c>
      <c r="H89" s="130">
        <f t="shared" si="10"/>
        <v>11286</v>
      </c>
      <c r="I89" s="129" t="str">
        <f t="shared" si="11"/>
        <v>OK</v>
      </c>
      <c r="J89" s="130">
        <v>1883</v>
      </c>
      <c r="K89" s="130">
        <f t="shared" si="12"/>
        <v>11298</v>
      </c>
      <c r="L89" s="129" t="str">
        <f t="shared" si="13"/>
        <v>OK</v>
      </c>
    </row>
    <row r="90" spans="1:12" ht="15" x14ac:dyDescent="0.25">
      <c r="A90" s="80">
        <v>4.37</v>
      </c>
      <c r="B90" s="131" t="s">
        <v>171</v>
      </c>
      <c r="C90" s="80" t="s">
        <v>2</v>
      </c>
      <c r="D90" s="81">
        <v>3</v>
      </c>
      <c r="E90" s="130">
        <v>88810</v>
      </c>
      <c r="F90" s="128">
        <f t="shared" si="9"/>
        <v>266430</v>
      </c>
      <c r="G90" s="130">
        <v>88233</v>
      </c>
      <c r="H90" s="130">
        <f t="shared" si="10"/>
        <v>264699</v>
      </c>
      <c r="I90" s="129" t="str">
        <f t="shared" si="11"/>
        <v>OK</v>
      </c>
      <c r="J90" s="130">
        <v>88322</v>
      </c>
      <c r="K90" s="130">
        <f t="shared" si="12"/>
        <v>264966</v>
      </c>
      <c r="L90" s="129" t="str">
        <f t="shared" si="13"/>
        <v>OK</v>
      </c>
    </row>
    <row r="91" spans="1:12" ht="15" x14ac:dyDescent="0.25">
      <c r="A91" s="80">
        <v>4.38</v>
      </c>
      <c r="B91" s="131" t="s">
        <v>172</v>
      </c>
      <c r="C91" s="80" t="s">
        <v>2</v>
      </c>
      <c r="D91" s="81">
        <v>4</v>
      </c>
      <c r="E91" s="130">
        <v>38805</v>
      </c>
      <c r="F91" s="128">
        <f t="shared" si="9"/>
        <v>155220</v>
      </c>
      <c r="G91" s="130">
        <v>38553</v>
      </c>
      <c r="H91" s="130">
        <f t="shared" si="10"/>
        <v>154212</v>
      </c>
      <c r="I91" s="129" t="str">
        <f t="shared" si="11"/>
        <v>OK</v>
      </c>
      <c r="J91" s="130">
        <v>38592</v>
      </c>
      <c r="K91" s="130">
        <f t="shared" si="12"/>
        <v>154368</v>
      </c>
      <c r="L91" s="129" t="str">
        <f t="shared" si="13"/>
        <v>OK</v>
      </c>
    </row>
    <row r="92" spans="1:12" ht="15" x14ac:dyDescent="0.25">
      <c r="A92" s="80">
        <v>4.3899999999999997</v>
      </c>
      <c r="B92" s="131" t="s">
        <v>173</v>
      </c>
      <c r="C92" s="80" t="s">
        <v>2</v>
      </c>
      <c r="D92" s="81">
        <v>13</v>
      </c>
      <c r="E92" s="130">
        <v>32863</v>
      </c>
      <c r="F92" s="128">
        <f t="shared" si="9"/>
        <v>427219</v>
      </c>
      <c r="G92" s="130">
        <v>32649</v>
      </c>
      <c r="H92" s="130">
        <f t="shared" si="10"/>
        <v>424437</v>
      </c>
      <c r="I92" s="129" t="str">
        <f t="shared" si="11"/>
        <v>OK</v>
      </c>
      <c r="J92" s="130">
        <v>32682</v>
      </c>
      <c r="K92" s="130">
        <f t="shared" si="12"/>
        <v>424866</v>
      </c>
      <c r="L92" s="129" t="str">
        <f t="shared" si="13"/>
        <v>OK</v>
      </c>
    </row>
    <row r="93" spans="1:12" ht="15" x14ac:dyDescent="0.25">
      <c r="A93" s="80">
        <v>4.4000000000000004</v>
      </c>
      <c r="B93" s="131" t="s">
        <v>174</v>
      </c>
      <c r="C93" s="80" t="s">
        <v>2</v>
      </c>
      <c r="D93" s="81">
        <v>3</v>
      </c>
      <c r="E93" s="130">
        <v>23417</v>
      </c>
      <c r="F93" s="128">
        <f t="shared" si="9"/>
        <v>70251</v>
      </c>
      <c r="G93" s="130">
        <v>23265</v>
      </c>
      <c r="H93" s="130">
        <f t="shared" si="10"/>
        <v>69795</v>
      </c>
      <c r="I93" s="129" t="str">
        <f t="shared" si="11"/>
        <v>OK</v>
      </c>
      <c r="J93" s="130">
        <v>23288</v>
      </c>
      <c r="K93" s="130">
        <f t="shared" si="12"/>
        <v>69864</v>
      </c>
      <c r="L93" s="129" t="str">
        <f t="shared" si="13"/>
        <v>OK</v>
      </c>
    </row>
    <row r="94" spans="1:12" ht="15" x14ac:dyDescent="0.25">
      <c r="A94" s="80">
        <v>4.41</v>
      </c>
      <c r="B94" s="131" t="s">
        <v>175</v>
      </c>
      <c r="C94" s="80" t="s">
        <v>2</v>
      </c>
      <c r="D94" s="81">
        <v>2</v>
      </c>
      <c r="E94" s="130">
        <v>4973</v>
      </c>
      <c r="F94" s="128">
        <f t="shared" si="9"/>
        <v>9946</v>
      </c>
      <c r="G94" s="130">
        <v>4941</v>
      </c>
      <c r="H94" s="130">
        <f t="shared" si="10"/>
        <v>9882</v>
      </c>
      <c r="I94" s="129" t="str">
        <f t="shared" si="11"/>
        <v>OK</v>
      </c>
      <c r="J94" s="130">
        <v>4946</v>
      </c>
      <c r="K94" s="130">
        <f t="shared" si="12"/>
        <v>9892</v>
      </c>
      <c r="L94" s="129" t="str">
        <f t="shared" si="13"/>
        <v>OK</v>
      </c>
    </row>
    <row r="95" spans="1:12" ht="15" x14ac:dyDescent="0.25">
      <c r="A95" s="80">
        <v>4.42</v>
      </c>
      <c r="B95" s="131" t="s">
        <v>176</v>
      </c>
      <c r="C95" s="80" t="s">
        <v>2</v>
      </c>
      <c r="D95" s="81">
        <v>209</v>
      </c>
      <c r="E95" s="130">
        <v>2864</v>
      </c>
      <c r="F95" s="128">
        <f t="shared" si="9"/>
        <v>598576</v>
      </c>
      <c r="G95" s="130">
        <v>2845</v>
      </c>
      <c r="H95" s="130">
        <f t="shared" si="10"/>
        <v>594605</v>
      </c>
      <c r="I95" s="129" t="str">
        <f t="shared" si="11"/>
        <v>OK</v>
      </c>
      <c r="J95" s="130">
        <v>2848</v>
      </c>
      <c r="K95" s="130">
        <f t="shared" si="12"/>
        <v>595232</v>
      </c>
      <c r="L95" s="129" t="str">
        <f t="shared" si="13"/>
        <v>OK</v>
      </c>
    </row>
    <row r="96" spans="1:12" ht="15" x14ac:dyDescent="0.25">
      <c r="A96" s="80">
        <v>4.43</v>
      </c>
      <c r="B96" s="131" t="s">
        <v>177</v>
      </c>
      <c r="C96" s="80" t="s">
        <v>2</v>
      </c>
      <c r="D96" s="81">
        <v>21</v>
      </c>
      <c r="E96" s="130">
        <v>1695</v>
      </c>
      <c r="F96" s="128">
        <f t="shared" si="9"/>
        <v>35595</v>
      </c>
      <c r="G96" s="130">
        <v>1684</v>
      </c>
      <c r="H96" s="130">
        <f t="shared" si="10"/>
        <v>35364</v>
      </c>
      <c r="I96" s="129" t="str">
        <f t="shared" si="11"/>
        <v>OK</v>
      </c>
      <c r="J96" s="130">
        <v>1686</v>
      </c>
      <c r="K96" s="130">
        <f t="shared" si="12"/>
        <v>35406</v>
      </c>
      <c r="L96" s="129" t="str">
        <f t="shared" si="13"/>
        <v>OK</v>
      </c>
    </row>
    <row r="97" spans="1:12" ht="25.5" x14ac:dyDescent="0.25">
      <c r="A97" s="80">
        <v>4.4400000000000004</v>
      </c>
      <c r="B97" s="131" t="s">
        <v>178</v>
      </c>
      <c r="C97" s="80" t="s">
        <v>2</v>
      </c>
      <c r="D97" s="81">
        <v>313</v>
      </c>
      <c r="E97" s="130">
        <v>47341</v>
      </c>
      <c r="F97" s="128">
        <f t="shared" si="9"/>
        <v>14817733</v>
      </c>
      <c r="G97" s="130">
        <v>47033</v>
      </c>
      <c r="H97" s="130">
        <f t="shared" si="10"/>
        <v>14721329</v>
      </c>
      <c r="I97" s="129" t="str">
        <f t="shared" si="11"/>
        <v>OK</v>
      </c>
      <c r="J97" s="130">
        <v>47081</v>
      </c>
      <c r="K97" s="130">
        <f t="shared" si="12"/>
        <v>14736353</v>
      </c>
      <c r="L97" s="129" t="str">
        <f t="shared" si="13"/>
        <v>OK</v>
      </c>
    </row>
    <row r="98" spans="1:12" ht="15" x14ac:dyDescent="0.25">
      <c r="A98" s="80">
        <v>4.45</v>
      </c>
      <c r="B98" s="131" t="s">
        <v>179</v>
      </c>
      <c r="C98" s="80" t="s">
        <v>2</v>
      </c>
      <c r="D98" s="81">
        <v>2</v>
      </c>
      <c r="E98" s="130">
        <v>833937</v>
      </c>
      <c r="F98" s="128">
        <f t="shared" si="9"/>
        <v>1667874</v>
      </c>
      <c r="G98" s="130">
        <v>828516</v>
      </c>
      <c r="H98" s="130">
        <f t="shared" si="10"/>
        <v>1657032</v>
      </c>
      <c r="I98" s="129" t="str">
        <f t="shared" si="11"/>
        <v>OK</v>
      </c>
      <c r="J98" s="130">
        <v>829350</v>
      </c>
      <c r="K98" s="130">
        <f t="shared" si="12"/>
        <v>1658700</v>
      </c>
      <c r="L98" s="129" t="str">
        <f t="shared" si="13"/>
        <v>OK</v>
      </c>
    </row>
    <row r="99" spans="1:12" ht="15" x14ac:dyDescent="0.25">
      <c r="A99" s="80">
        <v>4.46</v>
      </c>
      <c r="B99" s="131" t="s">
        <v>180</v>
      </c>
      <c r="C99" s="80" t="s">
        <v>2</v>
      </c>
      <c r="D99" s="81">
        <v>104</v>
      </c>
      <c r="E99" s="130">
        <v>37551</v>
      </c>
      <c r="F99" s="128">
        <f t="shared" si="9"/>
        <v>3905304</v>
      </c>
      <c r="G99" s="130">
        <v>37307</v>
      </c>
      <c r="H99" s="130">
        <f t="shared" si="10"/>
        <v>3879928</v>
      </c>
      <c r="I99" s="129" t="str">
        <f t="shared" si="11"/>
        <v>OK</v>
      </c>
      <c r="J99" s="130">
        <v>37344</v>
      </c>
      <c r="K99" s="130">
        <f t="shared" si="12"/>
        <v>3883776</v>
      </c>
      <c r="L99" s="129" t="str">
        <f t="shared" si="13"/>
        <v>OK</v>
      </c>
    </row>
    <row r="100" spans="1:12" ht="15" x14ac:dyDescent="0.25">
      <c r="A100" s="80">
        <v>4.47</v>
      </c>
      <c r="B100" s="131" t="s">
        <v>181</v>
      </c>
      <c r="C100" s="80" t="s">
        <v>2</v>
      </c>
      <c r="D100" s="81">
        <v>6</v>
      </c>
      <c r="E100" s="130">
        <v>65019</v>
      </c>
      <c r="F100" s="128">
        <f t="shared" si="9"/>
        <v>390114</v>
      </c>
      <c r="G100" s="130">
        <v>64596</v>
      </c>
      <c r="H100" s="130">
        <f t="shared" si="10"/>
        <v>387576</v>
      </c>
      <c r="I100" s="129" t="str">
        <f t="shared" si="11"/>
        <v>OK</v>
      </c>
      <c r="J100" s="130">
        <v>64661</v>
      </c>
      <c r="K100" s="130">
        <f t="shared" si="12"/>
        <v>387966</v>
      </c>
      <c r="L100" s="129" t="str">
        <f t="shared" si="13"/>
        <v>OK</v>
      </c>
    </row>
    <row r="101" spans="1:12" ht="15" x14ac:dyDescent="0.25">
      <c r="A101" s="80">
        <v>4.4800000000000004</v>
      </c>
      <c r="B101" s="131" t="s">
        <v>182</v>
      </c>
      <c r="C101" s="80" t="s">
        <v>2</v>
      </c>
      <c r="D101" s="81">
        <v>2</v>
      </c>
      <c r="E101" s="130">
        <v>110343</v>
      </c>
      <c r="F101" s="128">
        <f t="shared" si="9"/>
        <v>220686</v>
      </c>
      <c r="G101" s="130">
        <v>109626</v>
      </c>
      <c r="H101" s="130">
        <f t="shared" si="10"/>
        <v>219252</v>
      </c>
      <c r="I101" s="129" t="str">
        <f t="shared" si="11"/>
        <v>OK</v>
      </c>
      <c r="J101" s="130">
        <v>109736</v>
      </c>
      <c r="K101" s="130">
        <f t="shared" si="12"/>
        <v>219472</v>
      </c>
      <c r="L101" s="129" t="str">
        <f t="shared" si="13"/>
        <v>OK</v>
      </c>
    </row>
    <row r="102" spans="1:12" ht="25.5" x14ac:dyDescent="0.25">
      <c r="A102" s="80">
        <v>4.49</v>
      </c>
      <c r="B102" s="131" t="s">
        <v>183</v>
      </c>
      <c r="C102" s="80" t="s">
        <v>2</v>
      </c>
      <c r="D102" s="81">
        <v>1</v>
      </c>
      <c r="E102" s="130">
        <v>370918</v>
      </c>
      <c r="F102" s="128">
        <f t="shared" si="9"/>
        <v>370918</v>
      </c>
      <c r="G102" s="130">
        <v>368507</v>
      </c>
      <c r="H102" s="130">
        <f t="shared" si="10"/>
        <v>368507</v>
      </c>
      <c r="I102" s="129" t="str">
        <f t="shared" si="11"/>
        <v>OK</v>
      </c>
      <c r="J102" s="130">
        <v>368878</v>
      </c>
      <c r="K102" s="130">
        <f t="shared" si="12"/>
        <v>368878</v>
      </c>
      <c r="L102" s="129" t="str">
        <f t="shared" si="13"/>
        <v>OK</v>
      </c>
    </row>
    <row r="103" spans="1:12" ht="25.5" x14ac:dyDescent="0.25">
      <c r="A103" s="80">
        <v>4.5</v>
      </c>
      <c r="B103" s="131" t="s">
        <v>184</v>
      </c>
      <c r="C103" s="80" t="s">
        <v>2</v>
      </c>
      <c r="D103" s="81">
        <v>1</v>
      </c>
      <c r="E103" s="130">
        <v>2247427</v>
      </c>
      <c r="F103" s="128">
        <f t="shared" si="9"/>
        <v>2247427</v>
      </c>
      <c r="G103" s="130">
        <v>2232819</v>
      </c>
      <c r="H103" s="130">
        <f t="shared" si="10"/>
        <v>2232819</v>
      </c>
      <c r="I103" s="129" t="str">
        <f t="shared" si="11"/>
        <v>OK</v>
      </c>
      <c r="J103" s="130">
        <v>2235066</v>
      </c>
      <c r="K103" s="130">
        <f t="shared" si="12"/>
        <v>2235066</v>
      </c>
      <c r="L103" s="129" t="str">
        <f t="shared" si="13"/>
        <v>OK</v>
      </c>
    </row>
    <row r="104" spans="1:12" ht="15" x14ac:dyDescent="0.25">
      <c r="A104" s="80">
        <v>4.51</v>
      </c>
      <c r="B104" s="131" t="s">
        <v>185</v>
      </c>
      <c r="C104" s="80" t="s">
        <v>2</v>
      </c>
      <c r="D104" s="81">
        <v>2</v>
      </c>
      <c r="E104" s="130">
        <v>989580</v>
      </c>
      <c r="F104" s="128">
        <f t="shared" si="9"/>
        <v>1979160</v>
      </c>
      <c r="G104" s="130">
        <v>983148</v>
      </c>
      <c r="H104" s="130">
        <f t="shared" si="10"/>
        <v>1966296</v>
      </c>
      <c r="I104" s="129" t="str">
        <f t="shared" si="11"/>
        <v>OK</v>
      </c>
      <c r="J104" s="130">
        <v>984137</v>
      </c>
      <c r="K104" s="130">
        <f t="shared" si="12"/>
        <v>1968274</v>
      </c>
      <c r="L104" s="129" t="str">
        <f t="shared" si="13"/>
        <v>OK</v>
      </c>
    </row>
    <row r="105" spans="1:12" ht="15" x14ac:dyDescent="0.25">
      <c r="A105" s="80">
        <v>4.5199999999999996</v>
      </c>
      <c r="B105" s="131" t="s">
        <v>186</v>
      </c>
      <c r="C105" s="80" t="s">
        <v>2</v>
      </c>
      <c r="D105" s="81">
        <v>1</v>
      </c>
      <c r="E105" s="130">
        <v>747103</v>
      </c>
      <c r="F105" s="128">
        <f t="shared" si="9"/>
        <v>747103</v>
      </c>
      <c r="G105" s="130">
        <v>742247</v>
      </c>
      <c r="H105" s="130">
        <f t="shared" si="10"/>
        <v>742247</v>
      </c>
      <c r="I105" s="129" t="str">
        <f t="shared" si="11"/>
        <v>OK</v>
      </c>
      <c r="J105" s="130">
        <v>742994</v>
      </c>
      <c r="K105" s="130">
        <f t="shared" si="12"/>
        <v>742994</v>
      </c>
      <c r="L105" s="129" t="str">
        <f t="shared" si="13"/>
        <v>OK</v>
      </c>
    </row>
    <row r="106" spans="1:12" ht="15" x14ac:dyDescent="0.25">
      <c r="A106" s="80">
        <v>4.53</v>
      </c>
      <c r="B106" s="131" t="s">
        <v>187</v>
      </c>
      <c r="C106" s="80" t="s">
        <v>2</v>
      </c>
      <c r="D106" s="81">
        <v>0</v>
      </c>
      <c r="E106" s="130">
        <v>698961</v>
      </c>
      <c r="F106" s="128">
        <f t="shared" si="9"/>
        <v>0</v>
      </c>
      <c r="G106" s="130">
        <v>694418</v>
      </c>
      <c r="H106" s="130">
        <f t="shared" si="10"/>
        <v>0</v>
      </c>
      <c r="I106" s="129" t="str">
        <f t="shared" si="11"/>
        <v>OK</v>
      </c>
      <c r="J106" s="130">
        <v>695117</v>
      </c>
      <c r="K106" s="130">
        <f t="shared" si="12"/>
        <v>0</v>
      </c>
      <c r="L106" s="129" t="str">
        <f t="shared" si="13"/>
        <v>OK</v>
      </c>
    </row>
    <row r="107" spans="1:12" ht="15" x14ac:dyDescent="0.25">
      <c r="A107" s="80">
        <v>4.54</v>
      </c>
      <c r="B107" s="131" t="s">
        <v>188</v>
      </c>
      <c r="C107" s="80" t="s">
        <v>2</v>
      </c>
      <c r="D107" s="81">
        <v>1</v>
      </c>
      <c r="E107" s="130">
        <v>5354306</v>
      </c>
      <c r="F107" s="128">
        <f t="shared" si="9"/>
        <v>5354306</v>
      </c>
      <c r="G107" s="130">
        <v>5319503</v>
      </c>
      <c r="H107" s="130">
        <f t="shared" si="10"/>
        <v>5319503</v>
      </c>
      <c r="I107" s="129" t="str">
        <f t="shared" si="11"/>
        <v>OK</v>
      </c>
      <c r="J107" s="130">
        <v>5324857</v>
      </c>
      <c r="K107" s="130">
        <f t="shared" si="12"/>
        <v>5324857</v>
      </c>
      <c r="L107" s="129" t="str">
        <f t="shared" si="13"/>
        <v>OK</v>
      </c>
    </row>
    <row r="108" spans="1:12" ht="15" x14ac:dyDescent="0.25">
      <c r="A108" s="80">
        <v>4.55</v>
      </c>
      <c r="B108" s="131" t="s">
        <v>189</v>
      </c>
      <c r="C108" s="80" t="s">
        <v>2</v>
      </c>
      <c r="D108" s="81">
        <v>1</v>
      </c>
      <c r="E108" s="130">
        <v>2696949</v>
      </c>
      <c r="F108" s="128">
        <f t="shared" si="9"/>
        <v>2696949</v>
      </c>
      <c r="G108" s="130">
        <v>2679419</v>
      </c>
      <c r="H108" s="130">
        <f t="shared" si="10"/>
        <v>2679419</v>
      </c>
      <c r="I108" s="129" t="str">
        <f t="shared" si="11"/>
        <v>OK</v>
      </c>
      <c r="J108" s="130">
        <v>2682116</v>
      </c>
      <c r="K108" s="130">
        <f t="shared" si="12"/>
        <v>2682116</v>
      </c>
      <c r="L108" s="129" t="str">
        <f t="shared" si="13"/>
        <v>OK</v>
      </c>
    </row>
    <row r="109" spans="1:12" ht="15" x14ac:dyDescent="0.25">
      <c r="A109" s="80">
        <v>4.5599999999999996</v>
      </c>
      <c r="B109" s="131" t="s">
        <v>190</v>
      </c>
      <c r="C109" s="80" t="s">
        <v>88</v>
      </c>
      <c r="D109" s="81">
        <v>6.95</v>
      </c>
      <c r="E109" s="130">
        <v>75832</v>
      </c>
      <c r="F109" s="128">
        <f t="shared" si="9"/>
        <v>527032</v>
      </c>
      <c r="G109" s="130">
        <v>75339</v>
      </c>
      <c r="H109" s="130">
        <f t="shared" si="10"/>
        <v>523606</v>
      </c>
      <c r="I109" s="129" t="str">
        <f t="shared" si="11"/>
        <v>OK</v>
      </c>
      <c r="J109" s="130">
        <v>75415</v>
      </c>
      <c r="K109" s="130">
        <f t="shared" si="12"/>
        <v>524134</v>
      </c>
      <c r="L109" s="129" t="str">
        <f t="shared" si="13"/>
        <v>OK</v>
      </c>
    </row>
    <row r="110" spans="1:12" ht="15" x14ac:dyDescent="0.25">
      <c r="A110" s="80">
        <v>4.57</v>
      </c>
      <c r="B110" s="131" t="s">
        <v>191</v>
      </c>
      <c r="C110" s="80" t="s">
        <v>88</v>
      </c>
      <c r="D110" s="81">
        <v>265.41000000000003</v>
      </c>
      <c r="E110" s="130">
        <v>63128</v>
      </c>
      <c r="F110" s="128">
        <f t="shared" si="9"/>
        <v>16754802</v>
      </c>
      <c r="G110" s="130">
        <v>62718</v>
      </c>
      <c r="H110" s="130">
        <f t="shared" si="10"/>
        <v>16645984</v>
      </c>
      <c r="I110" s="129" t="str">
        <f t="shared" si="11"/>
        <v>OK</v>
      </c>
      <c r="J110" s="130">
        <v>62781</v>
      </c>
      <c r="K110" s="130">
        <f t="shared" si="12"/>
        <v>16662705</v>
      </c>
      <c r="L110" s="129" t="str">
        <f t="shared" si="13"/>
        <v>OK</v>
      </c>
    </row>
    <row r="111" spans="1:12" ht="15" x14ac:dyDescent="0.25">
      <c r="A111" s="80">
        <v>4.58</v>
      </c>
      <c r="B111" s="131" t="s">
        <v>192</v>
      </c>
      <c r="C111" s="80" t="s">
        <v>88</v>
      </c>
      <c r="D111" s="81">
        <v>996.73</v>
      </c>
      <c r="E111" s="130">
        <v>42895</v>
      </c>
      <c r="F111" s="128">
        <f t="shared" si="9"/>
        <v>42754733</v>
      </c>
      <c r="G111" s="130">
        <v>42616</v>
      </c>
      <c r="H111" s="130">
        <f t="shared" si="10"/>
        <v>42476646</v>
      </c>
      <c r="I111" s="129" t="str">
        <f t="shared" si="11"/>
        <v>OK</v>
      </c>
      <c r="J111" s="130">
        <v>42659</v>
      </c>
      <c r="K111" s="130">
        <f t="shared" si="12"/>
        <v>42519505</v>
      </c>
      <c r="L111" s="129" t="str">
        <f t="shared" si="13"/>
        <v>OK</v>
      </c>
    </row>
    <row r="112" spans="1:12" ht="15" x14ac:dyDescent="0.25">
      <c r="A112" s="80">
        <v>4.59</v>
      </c>
      <c r="B112" s="131" t="s">
        <v>193</v>
      </c>
      <c r="C112" s="80" t="s">
        <v>88</v>
      </c>
      <c r="D112" s="81">
        <v>242.61</v>
      </c>
      <c r="E112" s="130">
        <v>30365</v>
      </c>
      <c r="F112" s="128">
        <f t="shared" si="9"/>
        <v>7366853</v>
      </c>
      <c r="G112" s="130">
        <v>30168</v>
      </c>
      <c r="H112" s="130">
        <f t="shared" si="10"/>
        <v>7319058</v>
      </c>
      <c r="I112" s="129" t="str">
        <f t="shared" si="11"/>
        <v>OK</v>
      </c>
      <c r="J112" s="130">
        <v>30198</v>
      </c>
      <c r="K112" s="130">
        <f t="shared" si="12"/>
        <v>7326337</v>
      </c>
      <c r="L112" s="129" t="str">
        <f t="shared" si="13"/>
        <v>OK</v>
      </c>
    </row>
    <row r="113" spans="1:12" ht="15" x14ac:dyDescent="0.25">
      <c r="A113" s="80">
        <v>4.5999999999999996</v>
      </c>
      <c r="B113" s="131" t="s">
        <v>194</v>
      </c>
      <c r="C113" s="80" t="s">
        <v>2</v>
      </c>
      <c r="D113" s="81">
        <v>70</v>
      </c>
      <c r="E113" s="130">
        <v>56992</v>
      </c>
      <c r="F113" s="128">
        <f t="shared" si="9"/>
        <v>3989440</v>
      </c>
      <c r="G113" s="130">
        <v>56622</v>
      </c>
      <c r="H113" s="130">
        <f t="shared" si="10"/>
        <v>3963540</v>
      </c>
      <c r="I113" s="129" t="str">
        <f t="shared" si="11"/>
        <v>OK</v>
      </c>
      <c r="J113" s="130">
        <v>56679</v>
      </c>
      <c r="K113" s="130">
        <f t="shared" si="12"/>
        <v>3967530</v>
      </c>
      <c r="L113" s="129" t="str">
        <f t="shared" si="13"/>
        <v>OK</v>
      </c>
    </row>
    <row r="114" spans="1:12" ht="15" x14ac:dyDescent="0.25">
      <c r="A114" s="80">
        <v>4.6100000000000003</v>
      </c>
      <c r="B114" s="131" t="s">
        <v>195</v>
      </c>
      <c r="C114" s="80" t="s">
        <v>2</v>
      </c>
      <c r="D114" s="81">
        <v>4</v>
      </c>
      <c r="E114" s="130">
        <v>83239</v>
      </c>
      <c r="F114" s="128">
        <f t="shared" si="9"/>
        <v>332956</v>
      </c>
      <c r="G114" s="130">
        <v>82698</v>
      </c>
      <c r="H114" s="130">
        <f t="shared" si="10"/>
        <v>330792</v>
      </c>
      <c r="I114" s="129" t="str">
        <f t="shared" si="11"/>
        <v>OK</v>
      </c>
      <c r="J114" s="130">
        <v>82781</v>
      </c>
      <c r="K114" s="130">
        <f t="shared" si="12"/>
        <v>331124</v>
      </c>
      <c r="L114" s="129" t="str">
        <f t="shared" si="13"/>
        <v>OK</v>
      </c>
    </row>
    <row r="115" spans="1:12" ht="15" x14ac:dyDescent="0.25">
      <c r="A115" s="80">
        <v>4.62</v>
      </c>
      <c r="B115" s="131" t="s">
        <v>196</v>
      </c>
      <c r="C115" s="80" t="s">
        <v>2</v>
      </c>
      <c r="D115" s="81">
        <v>128</v>
      </c>
      <c r="E115" s="130">
        <v>51935</v>
      </c>
      <c r="F115" s="128">
        <f t="shared" si="9"/>
        <v>6647680</v>
      </c>
      <c r="G115" s="130">
        <v>51597</v>
      </c>
      <c r="H115" s="130">
        <f t="shared" si="10"/>
        <v>6604416</v>
      </c>
      <c r="I115" s="129" t="str">
        <f t="shared" si="11"/>
        <v>OK</v>
      </c>
      <c r="J115" s="130">
        <v>51649</v>
      </c>
      <c r="K115" s="130">
        <f t="shared" si="12"/>
        <v>6611072</v>
      </c>
      <c r="L115" s="129" t="str">
        <f t="shared" si="13"/>
        <v>OK</v>
      </c>
    </row>
    <row r="116" spans="1:12" ht="15" x14ac:dyDescent="0.25">
      <c r="A116" s="80">
        <v>4.63</v>
      </c>
      <c r="B116" s="131" t="s">
        <v>197</v>
      </c>
      <c r="C116" s="80" t="s">
        <v>2</v>
      </c>
      <c r="D116" s="81">
        <v>257</v>
      </c>
      <c r="E116" s="130">
        <v>37855</v>
      </c>
      <c r="F116" s="128">
        <f t="shared" si="9"/>
        <v>9728735</v>
      </c>
      <c r="G116" s="130">
        <v>37609</v>
      </c>
      <c r="H116" s="130">
        <f t="shared" si="10"/>
        <v>9665513</v>
      </c>
      <c r="I116" s="129" t="str">
        <f t="shared" si="11"/>
        <v>OK</v>
      </c>
      <c r="J116" s="130">
        <v>37647</v>
      </c>
      <c r="K116" s="130">
        <f t="shared" si="12"/>
        <v>9675279</v>
      </c>
      <c r="L116" s="129" t="str">
        <f t="shared" si="13"/>
        <v>OK</v>
      </c>
    </row>
    <row r="117" spans="1:12" ht="15" x14ac:dyDescent="0.25">
      <c r="A117" s="80">
        <v>4.6399999999999997</v>
      </c>
      <c r="B117" s="131" t="s">
        <v>198</v>
      </c>
      <c r="C117" s="80" t="s">
        <v>2</v>
      </c>
      <c r="D117" s="81">
        <v>64</v>
      </c>
      <c r="E117" s="130">
        <v>34856</v>
      </c>
      <c r="F117" s="128">
        <f t="shared" si="9"/>
        <v>2230784</v>
      </c>
      <c r="G117" s="130">
        <v>34629</v>
      </c>
      <c r="H117" s="130">
        <f t="shared" si="10"/>
        <v>2216256</v>
      </c>
      <c r="I117" s="129" t="str">
        <f t="shared" si="11"/>
        <v>OK</v>
      </c>
      <c r="J117" s="130">
        <v>34664</v>
      </c>
      <c r="K117" s="130">
        <f t="shared" si="12"/>
        <v>2218496</v>
      </c>
      <c r="L117" s="129" t="str">
        <f t="shared" si="13"/>
        <v>OK</v>
      </c>
    </row>
    <row r="118" spans="1:12" ht="15" x14ac:dyDescent="0.25">
      <c r="A118" s="80">
        <v>4.6500000000000004</v>
      </c>
      <c r="B118" s="131" t="s">
        <v>199</v>
      </c>
      <c r="C118" s="80" t="s">
        <v>2</v>
      </c>
      <c r="D118" s="81">
        <v>64</v>
      </c>
      <c r="E118" s="130">
        <v>21305</v>
      </c>
      <c r="F118" s="128">
        <f t="shared" si="9"/>
        <v>1363520</v>
      </c>
      <c r="G118" s="130">
        <v>21167</v>
      </c>
      <c r="H118" s="130">
        <f t="shared" si="10"/>
        <v>1354688</v>
      </c>
      <c r="I118" s="129" t="str">
        <f t="shared" si="11"/>
        <v>OK</v>
      </c>
      <c r="J118" s="130">
        <v>21188</v>
      </c>
      <c r="K118" s="130">
        <f t="shared" si="12"/>
        <v>1356032</v>
      </c>
      <c r="L118" s="129" t="str">
        <f t="shared" si="13"/>
        <v>OK</v>
      </c>
    </row>
    <row r="119" spans="1:12" ht="15" x14ac:dyDescent="0.25">
      <c r="A119" s="80">
        <v>4.66</v>
      </c>
      <c r="B119" s="131" t="s">
        <v>200</v>
      </c>
      <c r="C119" s="80" t="s">
        <v>2</v>
      </c>
      <c r="D119" s="81">
        <v>64</v>
      </c>
      <c r="E119" s="130">
        <v>18038</v>
      </c>
      <c r="F119" s="128">
        <f t="shared" si="9"/>
        <v>1154432</v>
      </c>
      <c r="G119" s="130">
        <v>17921</v>
      </c>
      <c r="H119" s="130">
        <f t="shared" si="10"/>
        <v>1146944</v>
      </c>
      <c r="I119" s="129" t="str">
        <f t="shared" si="11"/>
        <v>OK</v>
      </c>
      <c r="J119" s="130">
        <v>17939</v>
      </c>
      <c r="K119" s="130">
        <f t="shared" si="12"/>
        <v>1148096</v>
      </c>
      <c r="L119" s="129" t="str">
        <f t="shared" si="13"/>
        <v>OK</v>
      </c>
    </row>
    <row r="120" spans="1:12" ht="15" x14ac:dyDescent="0.25">
      <c r="A120" s="80">
        <v>4.67</v>
      </c>
      <c r="B120" s="131" t="s">
        <v>201</v>
      </c>
      <c r="C120" s="80" t="s">
        <v>2</v>
      </c>
      <c r="D120" s="81">
        <v>64</v>
      </c>
      <c r="E120" s="130">
        <v>34781</v>
      </c>
      <c r="F120" s="128">
        <f t="shared" si="9"/>
        <v>2225984</v>
      </c>
      <c r="G120" s="130">
        <v>34555</v>
      </c>
      <c r="H120" s="130">
        <f t="shared" si="10"/>
        <v>2211520</v>
      </c>
      <c r="I120" s="129" t="str">
        <f t="shared" si="11"/>
        <v>OK</v>
      </c>
      <c r="J120" s="130">
        <v>34590</v>
      </c>
      <c r="K120" s="130">
        <f t="shared" si="12"/>
        <v>2213760</v>
      </c>
      <c r="L120" s="129" t="str">
        <f t="shared" si="13"/>
        <v>OK</v>
      </c>
    </row>
    <row r="121" spans="1:12" ht="15" x14ac:dyDescent="0.25">
      <c r="A121" s="80">
        <v>4.68</v>
      </c>
      <c r="B121" s="131" t="s">
        <v>202</v>
      </c>
      <c r="C121" s="80" t="s">
        <v>2</v>
      </c>
      <c r="D121" s="81">
        <v>12</v>
      </c>
      <c r="E121" s="130">
        <v>41350</v>
      </c>
      <c r="F121" s="128">
        <f t="shared" si="9"/>
        <v>496200</v>
      </c>
      <c r="G121" s="130">
        <v>41081</v>
      </c>
      <c r="H121" s="130">
        <f t="shared" si="10"/>
        <v>492972</v>
      </c>
      <c r="I121" s="129" t="str">
        <f t="shared" si="11"/>
        <v>OK</v>
      </c>
      <c r="J121" s="130">
        <v>41123</v>
      </c>
      <c r="K121" s="130">
        <f t="shared" si="12"/>
        <v>493476</v>
      </c>
      <c r="L121" s="129" t="str">
        <f t="shared" si="13"/>
        <v>OK</v>
      </c>
    </row>
    <row r="122" spans="1:12" ht="15" x14ac:dyDescent="0.25">
      <c r="A122" s="80">
        <v>4.6900000000000004</v>
      </c>
      <c r="B122" s="131" t="s">
        <v>203</v>
      </c>
      <c r="C122" s="80" t="s">
        <v>2</v>
      </c>
      <c r="D122" s="81">
        <v>275</v>
      </c>
      <c r="E122" s="130">
        <v>18877</v>
      </c>
      <c r="F122" s="128">
        <f t="shared" si="9"/>
        <v>5191175</v>
      </c>
      <c r="G122" s="130">
        <v>18754</v>
      </c>
      <c r="H122" s="130">
        <f t="shared" si="10"/>
        <v>5157350</v>
      </c>
      <c r="I122" s="129" t="str">
        <f t="shared" si="11"/>
        <v>OK</v>
      </c>
      <c r="J122" s="130">
        <v>18773</v>
      </c>
      <c r="K122" s="130">
        <f t="shared" si="12"/>
        <v>5162575</v>
      </c>
      <c r="L122" s="129" t="str">
        <f t="shared" si="13"/>
        <v>OK</v>
      </c>
    </row>
    <row r="123" spans="1:12" ht="15" x14ac:dyDescent="0.25">
      <c r="A123" s="80">
        <v>4.7</v>
      </c>
      <c r="B123" s="131" t="s">
        <v>204</v>
      </c>
      <c r="C123" s="80" t="s">
        <v>2</v>
      </c>
      <c r="D123" s="81">
        <v>4</v>
      </c>
      <c r="E123" s="130">
        <v>34850</v>
      </c>
      <c r="F123" s="128">
        <f t="shared" si="9"/>
        <v>139400</v>
      </c>
      <c r="G123" s="130">
        <v>34623</v>
      </c>
      <c r="H123" s="130">
        <f t="shared" si="10"/>
        <v>138492</v>
      </c>
      <c r="I123" s="129" t="str">
        <f t="shared" si="11"/>
        <v>OK</v>
      </c>
      <c r="J123" s="130">
        <v>34658</v>
      </c>
      <c r="K123" s="130">
        <f t="shared" si="12"/>
        <v>138632</v>
      </c>
      <c r="L123" s="129" t="str">
        <f t="shared" si="13"/>
        <v>OK</v>
      </c>
    </row>
    <row r="124" spans="1:12" ht="25.5" x14ac:dyDescent="0.25">
      <c r="A124" s="80">
        <v>4.71</v>
      </c>
      <c r="B124" s="131" t="s">
        <v>205</v>
      </c>
      <c r="C124" s="80" t="s">
        <v>2</v>
      </c>
      <c r="D124" s="81">
        <v>51</v>
      </c>
      <c r="E124" s="130">
        <v>291703.09999999998</v>
      </c>
      <c r="F124" s="128">
        <f t="shared" si="9"/>
        <v>14876858</v>
      </c>
      <c r="G124" s="130">
        <v>289807</v>
      </c>
      <c r="H124" s="130">
        <f t="shared" si="10"/>
        <v>14780157</v>
      </c>
      <c r="I124" s="129" t="str">
        <f t="shared" si="11"/>
        <v>OK</v>
      </c>
      <c r="J124" s="130">
        <v>290099</v>
      </c>
      <c r="K124" s="130">
        <f t="shared" si="12"/>
        <v>14795049</v>
      </c>
      <c r="L124" s="129" t="str">
        <f t="shared" si="13"/>
        <v>OK</v>
      </c>
    </row>
    <row r="125" spans="1:12" ht="15" x14ac:dyDescent="0.25">
      <c r="A125" s="80">
        <v>4.72</v>
      </c>
      <c r="B125" s="131" t="s">
        <v>206</v>
      </c>
      <c r="C125" s="80" t="s">
        <v>2</v>
      </c>
      <c r="D125" s="81">
        <v>99</v>
      </c>
      <c r="E125" s="130">
        <v>108664</v>
      </c>
      <c r="F125" s="128">
        <f t="shared" si="9"/>
        <v>10757736</v>
      </c>
      <c r="G125" s="130">
        <v>107958</v>
      </c>
      <c r="H125" s="130">
        <f t="shared" si="10"/>
        <v>10687842</v>
      </c>
      <c r="I125" s="129" t="str">
        <f t="shared" si="11"/>
        <v>OK</v>
      </c>
      <c r="J125" s="130">
        <v>108066</v>
      </c>
      <c r="K125" s="130">
        <f t="shared" si="12"/>
        <v>10698534</v>
      </c>
      <c r="L125" s="129" t="str">
        <f t="shared" si="13"/>
        <v>OK</v>
      </c>
    </row>
    <row r="126" spans="1:12" ht="15" x14ac:dyDescent="0.25">
      <c r="A126" s="80">
        <v>4.7300000000000004</v>
      </c>
      <c r="B126" s="131" t="s">
        <v>207</v>
      </c>
      <c r="C126" s="80" t="s">
        <v>2</v>
      </c>
      <c r="D126" s="81">
        <v>313</v>
      </c>
      <c r="E126" s="130">
        <v>67460</v>
      </c>
      <c r="F126" s="128">
        <f t="shared" si="9"/>
        <v>21114980</v>
      </c>
      <c r="G126" s="130">
        <v>67022</v>
      </c>
      <c r="H126" s="130">
        <f t="shared" si="10"/>
        <v>20977886</v>
      </c>
      <c r="I126" s="129" t="str">
        <f t="shared" si="11"/>
        <v>OK</v>
      </c>
      <c r="J126" s="130">
        <v>67089</v>
      </c>
      <c r="K126" s="130">
        <f t="shared" si="12"/>
        <v>20998857</v>
      </c>
      <c r="L126" s="129" t="str">
        <f t="shared" si="13"/>
        <v>OK</v>
      </c>
    </row>
    <row r="127" spans="1:12" ht="25.5" x14ac:dyDescent="0.25">
      <c r="A127" s="80">
        <v>4.74</v>
      </c>
      <c r="B127" s="131" t="s">
        <v>208</v>
      </c>
      <c r="C127" s="80" t="s">
        <v>2</v>
      </c>
      <c r="D127" s="81">
        <v>10</v>
      </c>
      <c r="E127" s="130">
        <v>175288</v>
      </c>
      <c r="F127" s="128">
        <f t="shared" si="9"/>
        <v>1752880</v>
      </c>
      <c r="G127" s="130">
        <v>174149</v>
      </c>
      <c r="H127" s="130">
        <f t="shared" si="10"/>
        <v>1741490</v>
      </c>
      <c r="I127" s="129" t="str">
        <f t="shared" si="11"/>
        <v>OK</v>
      </c>
      <c r="J127" s="130">
        <v>174324</v>
      </c>
      <c r="K127" s="130">
        <f t="shared" si="12"/>
        <v>1743240</v>
      </c>
      <c r="L127" s="129" t="str">
        <f t="shared" si="13"/>
        <v>OK</v>
      </c>
    </row>
    <row r="128" spans="1:12" ht="38.25" x14ac:dyDescent="0.25">
      <c r="A128" s="80">
        <v>4.75</v>
      </c>
      <c r="B128" s="131" t="s">
        <v>209</v>
      </c>
      <c r="C128" s="80" t="s">
        <v>2</v>
      </c>
      <c r="D128" s="81">
        <v>1</v>
      </c>
      <c r="E128" s="130">
        <v>9696851.0999999996</v>
      </c>
      <c r="F128" s="128">
        <f t="shared" si="9"/>
        <v>9696851</v>
      </c>
      <c r="G128" s="130">
        <v>9633822</v>
      </c>
      <c r="H128" s="130">
        <f t="shared" si="10"/>
        <v>9633822</v>
      </c>
      <c r="I128" s="129" t="str">
        <f t="shared" si="11"/>
        <v>OK</v>
      </c>
      <c r="J128" s="130">
        <v>9643518</v>
      </c>
      <c r="K128" s="130">
        <f t="shared" si="12"/>
        <v>9643518</v>
      </c>
      <c r="L128" s="129" t="str">
        <f t="shared" si="13"/>
        <v>OK</v>
      </c>
    </row>
    <row r="129" spans="1:12" ht="15" x14ac:dyDescent="0.25">
      <c r="A129" s="80"/>
      <c r="B129" s="131"/>
      <c r="C129" s="80"/>
      <c r="D129" s="81"/>
      <c r="E129" s="130"/>
      <c r="F129" s="128">
        <f t="shared" si="9"/>
        <v>0</v>
      </c>
      <c r="G129" s="130"/>
      <c r="H129" s="130">
        <f t="shared" si="10"/>
        <v>0</v>
      </c>
      <c r="I129" s="129" t="str">
        <f t="shared" si="11"/>
        <v>OK</v>
      </c>
      <c r="J129" s="130"/>
      <c r="K129" s="130">
        <f t="shared" si="12"/>
        <v>0</v>
      </c>
      <c r="L129" s="129" t="str">
        <f t="shared" si="13"/>
        <v>OK</v>
      </c>
    </row>
    <row r="130" spans="1:12" ht="15" x14ac:dyDescent="0.25">
      <c r="A130" s="80"/>
      <c r="B130" s="130" t="s">
        <v>210</v>
      </c>
      <c r="C130" s="80"/>
      <c r="D130" s="81"/>
      <c r="E130" s="130"/>
      <c r="F130" s="128">
        <f t="shared" si="9"/>
        <v>0</v>
      </c>
      <c r="G130" s="130"/>
      <c r="H130" s="130">
        <f t="shared" si="10"/>
        <v>0</v>
      </c>
      <c r="I130" s="129" t="str">
        <f t="shared" si="11"/>
        <v>OK</v>
      </c>
      <c r="J130" s="130"/>
      <c r="K130" s="130">
        <f t="shared" si="12"/>
        <v>0</v>
      </c>
      <c r="L130" s="129" t="str">
        <f t="shared" si="13"/>
        <v>OK</v>
      </c>
    </row>
    <row r="131" spans="1:12" ht="15" x14ac:dyDescent="0.25">
      <c r="A131" s="80"/>
      <c r="B131" s="131"/>
      <c r="C131" s="80"/>
      <c r="D131" s="81"/>
      <c r="E131" s="130"/>
      <c r="F131" s="128">
        <f t="shared" si="9"/>
        <v>0</v>
      </c>
      <c r="G131" s="130"/>
      <c r="H131" s="130">
        <f t="shared" si="10"/>
        <v>0</v>
      </c>
      <c r="I131" s="129" t="str">
        <f t="shared" si="11"/>
        <v>OK</v>
      </c>
      <c r="J131" s="130"/>
      <c r="K131" s="130">
        <f t="shared" si="12"/>
        <v>0</v>
      </c>
      <c r="L131" s="129" t="str">
        <f t="shared" si="13"/>
        <v>OK</v>
      </c>
    </row>
    <row r="132" spans="1:12" ht="15" x14ac:dyDescent="0.25">
      <c r="A132" s="80">
        <v>5</v>
      </c>
      <c r="B132" s="131" t="s">
        <v>211</v>
      </c>
      <c r="C132" s="80"/>
      <c r="D132" s="81"/>
      <c r="E132" s="130"/>
      <c r="F132" s="128">
        <f t="shared" si="9"/>
        <v>0</v>
      </c>
      <c r="G132" s="130"/>
      <c r="H132" s="130">
        <f t="shared" si="10"/>
        <v>0</v>
      </c>
      <c r="I132" s="129" t="str">
        <f t="shared" si="11"/>
        <v>OK</v>
      </c>
      <c r="J132" s="130"/>
      <c r="K132" s="130">
        <f t="shared" si="12"/>
        <v>0</v>
      </c>
      <c r="L132" s="129" t="str">
        <f t="shared" si="13"/>
        <v>OK</v>
      </c>
    </row>
    <row r="133" spans="1:12" ht="15" x14ac:dyDescent="0.25">
      <c r="A133" s="80">
        <v>5.0999999999999996</v>
      </c>
      <c r="B133" s="131" t="s">
        <v>212</v>
      </c>
      <c r="C133" s="80" t="s">
        <v>88</v>
      </c>
      <c r="D133" s="81">
        <v>131.21</v>
      </c>
      <c r="E133" s="130">
        <v>56009</v>
      </c>
      <c r="F133" s="128">
        <f t="shared" si="9"/>
        <v>7348941</v>
      </c>
      <c r="G133" s="130">
        <v>55645</v>
      </c>
      <c r="H133" s="130">
        <f t="shared" si="10"/>
        <v>7301180</v>
      </c>
      <c r="I133" s="129" t="str">
        <f t="shared" si="11"/>
        <v>OK</v>
      </c>
      <c r="J133" s="130">
        <v>55701</v>
      </c>
      <c r="K133" s="130">
        <f t="shared" si="12"/>
        <v>7308528</v>
      </c>
      <c r="L133" s="129" t="str">
        <f t="shared" si="13"/>
        <v>OK</v>
      </c>
    </row>
    <row r="134" spans="1:12" ht="15" x14ac:dyDescent="0.25">
      <c r="A134" s="80">
        <v>5.2</v>
      </c>
      <c r="B134" s="131" t="s">
        <v>213</v>
      </c>
      <c r="C134" s="80" t="s">
        <v>88</v>
      </c>
      <c r="D134" s="81">
        <v>34.6</v>
      </c>
      <c r="E134" s="130">
        <v>47316</v>
      </c>
      <c r="F134" s="128">
        <f t="shared" si="9"/>
        <v>1637134</v>
      </c>
      <c r="G134" s="130">
        <v>47008</v>
      </c>
      <c r="H134" s="130">
        <f t="shared" si="10"/>
        <v>1626477</v>
      </c>
      <c r="I134" s="129" t="str">
        <f t="shared" si="11"/>
        <v>OK</v>
      </c>
      <c r="J134" s="130">
        <v>47056</v>
      </c>
      <c r="K134" s="130">
        <f t="shared" si="12"/>
        <v>1628138</v>
      </c>
      <c r="L134" s="129" t="str">
        <f t="shared" si="13"/>
        <v>OK</v>
      </c>
    </row>
    <row r="135" spans="1:12" ht="15" x14ac:dyDescent="0.25">
      <c r="A135" s="80">
        <v>5.3</v>
      </c>
      <c r="B135" s="131" t="s">
        <v>214</v>
      </c>
      <c r="C135" s="80" t="s">
        <v>88</v>
      </c>
      <c r="D135" s="81">
        <v>40.549999999999997</v>
      </c>
      <c r="E135" s="130">
        <v>42895</v>
      </c>
      <c r="F135" s="128">
        <f t="shared" si="9"/>
        <v>1739392</v>
      </c>
      <c r="G135" s="130">
        <v>42616</v>
      </c>
      <c r="H135" s="130">
        <f t="shared" si="10"/>
        <v>1728079</v>
      </c>
      <c r="I135" s="129" t="str">
        <f t="shared" si="11"/>
        <v>OK</v>
      </c>
      <c r="J135" s="130">
        <v>42659</v>
      </c>
      <c r="K135" s="130">
        <f t="shared" si="12"/>
        <v>1729822</v>
      </c>
      <c r="L135" s="129" t="str">
        <f t="shared" si="13"/>
        <v>OK</v>
      </c>
    </row>
    <row r="136" spans="1:12" ht="15" x14ac:dyDescent="0.25">
      <c r="A136" s="80">
        <v>5.4</v>
      </c>
      <c r="B136" s="131" t="s">
        <v>215</v>
      </c>
      <c r="C136" s="80" t="s">
        <v>88</v>
      </c>
      <c r="D136" s="81">
        <v>118.65</v>
      </c>
      <c r="E136" s="130">
        <v>34628</v>
      </c>
      <c r="F136" s="128">
        <f t="shared" si="9"/>
        <v>4108612</v>
      </c>
      <c r="G136" s="130">
        <v>34403</v>
      </c>
      <c r="H136" s="130">
        <f t="shared" si="10"/>
        <v>4081916</v>
      </c>
      <c r="I136" s="129" t="str">
        <f t="shared" si="11"/>
        <v>OK</v>
      </c>
      <c r="J136" s="130">
        <v>34438</v>
      </c>
      <c r="K136" s="130">
        <f t="shared" si="12"/>
        <v>4086069</v>
      </c>
      <c r="L136" s="129" t="str">
        <f t="shared" si="13"/>
        <v>OK</v>
      </c>
    </row>
    <row r="137" spans="1:12" ht="15" x14ac:dyDescent="0.25">
      <c r="A137" s="80">
        <v>5.5</v>
      </c>
      <c r="B137" s="131" t="s">
        <v>216</v>
      </c>
      <c r="C137" s="80" t="s">
        <v>88</v>
      </c>
      <c r="D137" s="81">
        <v>40.5</v>
      </c>
      <c r="E137" s="130">
        <v>29059</v>
      </c>
      <c r="F137" s="128">
        <f t="shared" si="9"/>
        <v>1176890</v>
      </c>
      <c r="G137" s="130">
        <v>28870</v>
      </c>
      <c r="H137" s="130">
        <f t="shared" si="10"/>
        <v>1169235</v>
      </c>
      <c r="I137" s="129" t="str">
        <f t="shared" si="11"/>
        <v>OK</v>
      </c>
      <c r="J137" s="130">
        <v>28899</v>
      </c>
      <c r="K137" s="130">
        <f t="shared" si="12"/>
        <v>1170410</v>
      </c>
      <c r="L137" s="129" t="str">
        <f t="shared" si="13"/>
        <v>OK</v>
      </c>
    </row>
    <row r="138" spans="1:12" ht="15" x14ac:dyDescent="0.25">
      <c r="A138" s="80">
        <v>5.6</v>
      </c>
      <c r="B138" s="131" t="s">
        <v>217</v>
      </c>
      <c r="C138" s="80" t="s">
        <v>2</v>
      </c>
      <c r="D138" s="81">
        <v>81</v>
      </c>
      <c r="E138" s="130">
        <v>25099</v>
      </c>
      <c r="F138" s="128">
        <f t="shared" ref="F138:F201" si="14">ROUND($D138*E138,0)</f>
        <v>2033019</v>
      </c>
      <c r="G138" s="130">
        <v>24936</v>
      </c>
      <c r="H138" s="130">
        <f t="shared" si="10"/>
        <v>2019816</v>
      </c>
      <c r="I138" s="129" t="str">
        <f t="shared" si="11"/>
        <v>OK</v>
      </c>
      <c r="J138" s="130">
        <v>24961</v>
      </c>
      <c r="K138" s="130">
        <f t="shared" si="12"/>
        <v>2021841</v>
      </c>
      <c r="L138" s="129" t="str">
        <f t="shared" si="13"/>
        <v>OK</v>
      </c>
    </row>
    <row r="139" spans="1:12" ht="15" x14ac:dyDescent="0.25">
      <c r="A139" s="80">
        <v>5.7</v>
      </c>
      <c r="B139" s="131" t="s">
        <v>218</v>
      </c>
      <c r="C139" s="80" t="s">
        <v>2</v>
      </c>
      <c r="D139" s="81">
        <v>9</v>
      </c>
      <c r="E139" s="130">
        <v>74705</v>
      </c>
      <c r="F139" s="128">
        <f t="shared" si="14"/>
        <v>672345</v>
      </c>
      <c r="G139" s="130">
        <v>74219</v>
      </c>
      <c r="H139" s="130">
        <f t="shared" ref="H139:H202" si="15">ROUND($D139*G139,0)</f>
        <v>667971</v>
      </c>
      <c r="I139" s="129" t="str">
        <f t="shared" ref="I139:I202" si="16">+IF(G139&lt;=$E139,"OK","NO OK")</f>
        <v>OK</v>
      </c>
      <c r="J139" s="130">
        <v>74294</v>
      </c>
      <c r="K139" s="130">
        <f t="shared" ref="K139:K202" si="17">ROUND($D139*J139,0)</f>
        <v>668646</v>
      </c>
      <c r="L139" s="129" t="str">
        <f t="shared" ref="L139:L202" si="18">+IF(J139&lt;=$E139,"OK","NO OK")</f>
        <v>OK</v>
      </c>
    </row>
    <row r="140" spans="1:12" ht="15" x14ac:dyDescent="0.25">
      <c r="A140" s="80">
        <v>5.8</v>
      </c>
      <c r="B140" s="131" t="s">
        <v>219</v>
      </c>
      <c r="C140" s="80" t="s">
        <v>2</v>
      </c>
      <c r="D140" s="81">
        <v>4</v>
      </c>
      <c r="E140" s="130">
        <v>49318</v>
      </c>
      <c r="F140" s="128">
        <f t="shared" si="14"/>
        <v>197272</v>
      </c>
      <c r="G140" s="130">
        <v>48997</v>
      </c>
      <c r="H140" s="130">
        <f t="shared" si="15"/>
        <v>195988</v>
      </c>
      <c r="I140" s="129" t="str">
        <f t="shared" si="16"/>
        <v>OK</v>
      </c>
      <c r="J140" s="130">
        <v>49047</v>
      </c>
      <c r="K140" s="130">
        <f t="shared" si="17"/>
        <v>196188</v>
      </c>
      <c r="L140" s="129" t="str">
        <f t="shared" si="18"/>
        <v>OK</v>
      </c>
    </row>
    <row r="141" spans="1:12" ht="15" x14ac:dyDescent="0.25">
      <c r="A141" s="80">
        <v>5.9</v>
      </c>
      <c r="B141" s="131" t="s">
        <v>220</v>
      </c>
      <c r="C141" s="80" t="s">
        <v>2</v>
      </c>
      <c r="D141" s="81">
        <v>3</v>
      </c>
      <c r="E141" s="130">
        <v>30767</v>
      </c>
      <c r="F141" s="128">
        <f t="shared" si="14"/>
        <v>92301</v>
      </c>
      <c r="G141" s="130">
        <v>30567</v>
      </c>
      <c r="H141" s="130">
        <f t="shared" si="15"/>
        <v>91701</v>
      </c>
      <c r="I141" s="129" t="str">
        <f t="shared" si="16"/>
        <v>OK</v>
      </c>
      <c r="J141" s="130">
        <v>30598</v>
      </c>
      <c r="K141" s="130">
        <f t="shared" si="17"/>
        <v>91794</v>
      </c>
      <c r="L141" s="129" t="str">
        <f t="shared" si="18"/>
        <v>OK</v>
      </c>
    </row>
    <row r="142" spans="1:12" ht="15" x14ac:dyDescent="0.25">
      <c r="A142" s="80">
        <v>5.0999999999999996</v>
      </c>
      <c r="B142" s="131" t="s">
        <v>221</v>
      </c>
      <c r="C142" s="80" t="s">
        <v>2</v>
      </c>
      <c r="D142" s="81">
        <v>12</v>
      </c>
      <c r="E142" s="130">
        <v>89616.8</v>
      </c>
      <c r="F142" s="128">
        <f t="shared" si="14"/>
        <v>1075402</v>
      </c>
      <c r="G142" s="130">
        <v>89034</v>
      </c>
      <c r="H142" s="130">
        <f t="shared" si="15"/>
        <v>1068408</v>
      </c>
      <c r="I142" s="129" t="str">
        <f t="shared" si="16"/>
        <v>OK</v>
      </c>
      <c r="J142" s="130">
        <v>89124</v>
      </c>
      <c r="K142" s="130">
        <f t="shared" si="17"/>
        <v>1069488</v>
      </c>
      <c r="L142" s="129" t="str">
        <f t="shared" si="18"/>
        <v>OK</v>
      </c>
    </row>
    <row r="143" spans="1:12" ht="15" x14ac:dyDescent="0.25">
      <c r="A143" s="80">
        <v>5.1100000000000003</v>
      </c>
      <c r="B143" s="131" t="s">
        <v>222</v>
      </c>
      <c r="C143" s="80" t="s">
        <v>2</v>
      </c>
      <c r="D143" s="81">
        <v>6</v>
      </c>
      <c r="E143" s="130">
        <v>47593</v>
      </c>
      <c r="F143" s="128">
        <f t="shared" si="14"/>
        <v>285558</v>
      </c>
      <c r="G143" s="130">
        <v>47284</v>
      </c>
      <c r="H143" s="130">
        <f t="shared" si="15"/>
        <v>283704</v>
      </c>
      <c r="I143" s="129" t="str">
        <f t="shared" si="16"/>
        <v>OK</v>
      </c>
      <c r="J143" s="130">
        <v>47331</v>
      </c>
      <c r="K143" s="130">
        <f t="shared" si="17"/>
        <v>283986</v>
      </c>
      <c r="L143" s="129" t="str">
        <f t="shared" si="18"/>
        <v>OK</v>
      </c>
    </row>
    <row r="144" spans="1:12" ht="15" x14ac:dyDescent="0.25">
      <c r="A144" s="80">
        <v>5.12</v>
      </c>
      <c r="B144" s="131" t="s">
        <v>223</v>
      </c>
      <c r="C144" s="80" t="s">
        <v>2</v>
      </c>
      <c r="D144" s="81">
        <v>30</v>
      </c>
      <c r="E144" s="130">
        <v>39913</v>
      </c>
      <c r="F144" s="128">
        <f t="shared" si="14"/>
        <v>1197390</v>
      </c>
      <c r="G144" s="130">
        <v>39654</v>
      </c>
      <c r="H144" s="130">
        <f t="shared" si="15"/>
        <v>1189620</v>
      </c>
      <c r="I144" s="129" t="str">
        <f t="shared" si="16"/>
        <v>OK</v>
      </c>
      <c r="J144" s="130">
        <v>39693</v>
      </c>
      <c r="K144" s="130">
        <f t="shared" si="17"/>
        <v>1190790</v>
      </c>
      <c r="L144" s="129" t="str">
        <f t="shared" si="18"/>
        <v>OK</v>
      </c>
    </row>
    <row r="145" spans="1:12" ht="15" x14ac:dyDescent="0.25">
      <c r="A145" s="80">
        <v>5.13</v>
      </c>
      <c r="B145" s="131" t="s">
        <v>224</v>
      </c>
      <c r="C145" s="80" t="s">
        <v>2</v>
      </c>
      <c r="D145" s="81">
        <v>18</v>
      </c>
      <c r="E145" s="130">
        <v>28861</v>
      </c>
      <c r="F145" s="128">
        <f t="shared" si="14"/>
        <v>519498</v>
      </c>
      <c r="G145" s="130">
        <v>28673</v>
      </c>
      <c r="H145" s="130">
        <f t="shared" si="15"/>
        <v>516114</v>
      </c>
      <c r="I145" s="129" t="str">
        <f t="shared" si="16"/>
        <v>OK</v>
      </c>
      <c r="J145" s="130">
        <v>28702</v>
      </c>
      <c r="K145" s="130">
        <f t="shared" si="17"/>
        <v>516636</v>
      </c>
      <c r="L145" s="129" t="str">
        <f t="shared" si="18"/>
        <v>OK</v>
      </c>
    </row>
    <row r="146" spans="1:12" ht="15" x14ac:dyDescent="0.25">
      <c r="A146" s="80">
        <v>5.14</v>
      </c>
      <c r="B146" s="131" t="s">
        <v>225</v>
      </c>
      <c r="C146" s="80" t="s">
        <v>2</v>
      </c>
      <c r="D146" s="81">
        <v>9</v>
      </c>
      <c r="E146" s="130">
        <v>28796</v>
      </c>
      <c r="F146" s="128">
        <f t="shared" si="14"/>
        <v>259164</v>
      </c>
      <c r="G146" s="130">
        <v>28609</v>
      </c>
      <c r="H146" s="130">
        <f t="shared" si="15"/>
        <v>257481</v>
      </c>
      <c r="I146" s="129" t="str">
        <f t="shared" si="16"/>
        <v>OK</v>
      </c>
      <c r="J146" s="130">
        <v>28638</v>
      </c>
      <c r="K146" s="130">
        <f t="shared" si="17"/>
        <v>257742</v>
      </c>
      <c r="L146" s="129" t="str">
        <f t="shared" si="18"/>
        <v>OK</v>
      </c>
    </row>
    <row r="147" spans="1:12" ht="15" x14ac:dyDescent="0.25">
      <c r="A147" s="80">
        <v>5.15</v>
      </c>
      <c r="B147" s="131" t="s">
        <v>226</v>
      </c>
      <c r="C147" s="80" t="s">
        <v>2</v>
      </c>
      <c r="D147" s="81">
        <v>2</v>
      </c>
      <c r="E147" s="130">
        <v>50148</v>
      </c>
      <c r="F147" s="128">
        <f t="shared" si="14"/>
        <v>100296</v>
      </c>
      <c r="G147" s="130">
        <v>49822</v>
      </c>
      <c r="H147" s="130">
        <f t="shared" si="15"/>
        <v>99644</v>
      </c>
      <c r="I147" s="129" t="str">
        <f t="shared" si="16"/>
        <v>OK</v>
      </c>
      <c r="J147" s="130">
        <v>49872</v>
      </c>
      <c r="K147" s="130">
        <f t="shared" si="17"/>
        <v>99744</v>
      </c>
      <c r="L147" s="129" t="str">
        <f t="shared" si="18"/>
        <v>OK</v>
      </c>
    </row>
    <row r="148" spans="1:12" ht="15" x14ac:dyDescent="0.25">
      <c r="A148" s="80">
        <v>5.16</v>
      </c>
      <c r="B148" s="131" t="s">
        <v>227</v>
      </c>
      <c r="C148" s="80" t="s">
        <v>2</v>
      </c>
      <c r="D148" s="81">
        <v>9</v>
      </c>
      <c r="E148" s="130">
        <v>33484</v>
      </c>
      <c r="F148" s="128">
        <f t="shared" si="14"/>
        <v>301356</v>
      </c>
      <c r="G148" s="130">
        <v>33266</v>
      </c>
      <c r="H148" s="130">
        <f t="shared" si="15"/>
        <v>299394</v>
      </c>
      <c r="I148" s="129" t="str">
        <f t="shared" si="16"/>
        <v>OK</v>
      </c>
      <c r="J148" s="130">
        <v>33300</v>
      </c>
      <c r="K148" s="130">
        <f t="shared" si="17"/>
        <v>299700</v>
      </c>
      <c r="L148" s="129" t="str">
        <f t="shared" si="18"/>
        <v>OK</v>
      </c>
    </row>
    <row r="149" spans="1:12" ht="15" x14ac:dyDescent="0.25">
      <c r="A149" s="80">
        <v>5.17</v>
      </c>
      <c r="B149" s="131" t="s">
        <v>228</v>
      </c>
      <c r="C149" s="80" t="s">
        <v>2</v>
      </c>
      <c r="D149" s="81">
        <v>9</v>
      </c>
      <c r="E149" s="130">
        <v>28304</v>
      </c>
      <c r="F149" s="128">
        <f t="shared" si="14"/>
        <v>254736</v>
      </c>
      <c r="G149" s="130">
        <v>28120</v>
      </c>
      <c r="H149" s="130">
        <f t="shared" si="15"/>
        <v>253080</v>
      </c>
      <c r="I149" s="129" t="str">
        <f t="shared" si="16"/>
        <v>OK</v>
      </c>
      <c r="J149" s="130">
        <v>28148</v>
      </c>
      <c r="K149" s="130">
        <f t="shared" si="17"/>
        <v>253332</v>
      </c>
      <c r="L149" s="129" t="str">
        <f t="shared" si="18"/>
        <v>OK</v>
      </c>
    </row>
    <row r="150" spans="1:12" ht="15" x14ac:dyDescent="0.25">
      <c r="A150" s="80">
        <v>5.1800000000000104</v>
      </c>
      <c r="B150" s="131" t="s">
        <v>229</v>
      </c>
      <c r="C150" s="80" t="s">
        <v>2</v>
      </c>
      <c r="D150" s="81">
        <v>30</v>
      </c>
      <c r="E150" s="130">
        <v>22677</v>
      </c>
      <c r="F150" s="128">
        <f t="shared" si="14"/>
        <v>680310</v>
      </c>
      <c r="G150" s="130">
        <v>22530</v>
      </c>
      <c r="H150" s="130">
        <f t="shared" si="15"/>
        <v>675900</v>
      </c>
      <c r="I150" s="129" t="str">
        <f t="shared" si="16"/>
        <v>OK</v>
      </c>
      <c r="J150" s="130">
        <v>22552</v>
      </c>
      <c r="K150" s="130">
        <f t="shared" si="17"/>
        <v>676560</v>
      </c>
      <c r="L150" s="129" t="str">
        <f t="shared" si="18"/>
        <v>OK</v>
      </c>
    </row>
    <row r="151" spans="1:12" ht="15" x14ac:dyDescent="0.25">
      <c r="A151" s="80">
        <v>5.1900000000000102</v>
      </c>
      <c r="B151" s="131" t="s">
        <v>230</v>
      </c>
      <c r="C151" s="80" t="s">
        <v>2</v>
      </c>
      <c r="D151" s="81">
        <v>9</v>
      </c>
      <c r="E151" s="130">
        <v>18944</v>
      </c>
      <c r="F151" s="128">
        <f t="shared" si="14"/>
        <v>170496</v>
      </c>
      <c r="G151" s="130">
        <v>18821</v>
      </c>
      <c r="H151" s="130">
        <f t="shared" si="15"/>
        <v>169389</v>
      </c>
      <c r="I151" s="129" t="str">
        <f t="shared" si="16"/>
        <v>OK</v>
      </c>
      <c r="J151" s="130">
        <v>18840</v>
      </c>
      <c r="K151" s="130">
        <f t="shared" si="17"/>
        <v>169560</v>
      </c>
      <c r="L151" s="129" t="str">
        <f t="shared" si="18"/>
        <v>OK</v>
      </c>
    </row>
    <row r="152" spans="1:12" ht="15" x14ac:dyDescent="0.25">
      <c r="A152" s="80">
        <v>5.2000000000000099</v>
      </c>
      <c r="B152" s="131" t="s">
        <v>231</v>
      </c>
      <c r="C152" s="80" t="s">
        <v>2</v>
      </c>
      <c r="D152" s="81">
        <v>18</v>
      </c>
      <c r="E152" s="130">
        <v>18944</v>
      </c>
      <c r="F152" s="128">
        <f t="shared" si="14"/>
        <v>340992</v>
      </c>
      <c r="G152" s="130">
        <v>18821</v>
      </c>
      <c r="H152" s="130">
        <f t="shared" si="15"/>
        <v>338778</v>
      </c>
      <c r="I152" s="129" t="str">
        <f t="shared" si="16"/>
        <v>OK</v>
      </c>
      <c r="J152" s="130">
        <v>18840</v>
      </c>
      <c r="K152" s="130">
        <f t="shared" si="17"/>
        <v>339120</v>
      </c>
      <c r="L152" s="129" t="str">
        <f t="shared" si="18"/>
        <v>OK</v>
      </c>
    </row>
    <row r="153" spans="1:12" ht="15" x14ac:dyDescent="0.25">
      <c r="A153" s="80">
        <v>5.2100000000000097</v>
      </c>
      <c r="B153" s="131" t="s">
        <v>232</v>
      </c>
      <c r="C153" s="80" t="s">
        <v>2</v>
      </c>
      <c r="D153" s="81">
        <v>12</v>
      </c>
      <c r="E153" s="130">
        <v>14290</v>
      </c>
      <c r="F153" s="128">
        <f t="shared" si="14"/>
        <v>171480</v>
      </c>
      <c r="G153" s="130">
        <v>14197</v>
      </c>
      <c r="H153" s="130">
        <f t="shared" si="15"/>
        <v>170364</v>
      </c>
      <c r="I153" s="129" t="str">
        <f t="shared" si="16"/>
        <v>OK</v>
      </c>
      <c r="J153" s="130">
        <v>14211</v>
      </c>
      <c r="K153" s="130">
        <f t="shared" si="17"/>
        <v>170532</v>
      </c>
      <c r="L153" s="129" t="str">
        <f t="shared" si="18"/>
        <v>OK</v>
      </c>
    </row>
    <row r="154" spans="1:12" ht="15" x14ac:dyDescent="0.25">
      <c r="A154" s="80">
        <v>5.2200000000000104</v>
      </c>
      <c r="B154" s="131" t="s">
        <v>233</v>
      </c>
      <c r="C154" s="80" t="s">
        <v>2</v>
      </c>
      <c r="D154" s="81">
        <v>6</v>
      </c>
      <c r="E154" s="130">
        <v>1765650</v>
      </c>
      <c r="F154" s="128">
        <f t="shared" si="14"/>
        <v>10593900</v>
      </c>
      <c r="G154" s="130">
        <v>1754173</v>
      </c>
      <c r="H154" s="130">
        <f t="shared" si="15"/>
        <v>10525038</v>
      </c>
      <c r="I154" s="129" t="str">
        <f t="shared" si="16"/>
        <v>OK</v>
      </c>
      <c r="J154" s="130">
        <v>1755939</v>
      </c>
      <c r="K154" s="130">
        <f t="shared" si="17"/>
        <v>10535634</v>
      </c>
      <c r="L154" s="129" t="str">
        <f t="shared" si="18"/>
        <v>OK</v>
      </c>
    </row>
    <row r="155" spans="1:12" ht="15" x14ac:dyDescent="0.25">
      <c r="A155" s="80">
        <v>5.2300000000000102</v>
      </c>
      <c r="B155" s="131" t="s">
        <v>234</v>
      </c>
      <c r="C155" s="80" t="s">
        <v>2</v>
      </c>
      <c r="D155" s="81">
        <v>4</v>
      </c>
      <c r="E155" s="130">
        <v>105065</v>
      </c>
      <c r="F155" s="128">
        <f t="shared" si="14"/>
        <v>420260</v>
      </c>
      <c r="G155" s="130">
        <v>104382</v>
      </c>
      <c r="H155" s="130">
        <f t="shared" si="15"/>
        <v>417528</v>
      </c>
      <c r="I155" s="129" t="str">
        <f t="shared" si="16"/>
        <v>OK</v>
      </c>
      <c r="J155" s="130">
        <v>104487</v>
      </c>
      <c r="K155" s="130">
        <f t="shared" si="17"/>
        <v>417948</v>
      </c>
      <c r="L155" s="129" t="str">
        <f t="shared" si="18"/>
        <v>OK</v>
      </c>
    </row>
    <row r="156" spans="1:12" ht="15" x14ac:dyDescent="0.25">
      <c r="A156" s="80">
        <v>5.24000000000001</v>
      </c>
      <c r="B156" s="131" t="s">
        <v>235</v>
      </c>
      <c r="C156" s="80" t="s">
        <v>2</v>
      </c>
      <c r="D156" s="81">
        <v>69</v>
      </c>
      <c r="E156" s="130">
        <v>170823</v>
      </c>
      <c r="F156" s="128">
        <f t="shared" si="14"/>
        <v>11786787</v>
      </c>
      <c r="G156" s="130">
        <v>169713</v>
      </c>
      <c r="H156" s="130">
        <f t="shared" si="15"/>
        <v>11710197</v>
      </c>
      <c r="I156" s="129" t="str">
        <f t="shared" si="16"/>
        <v>OK</v>
      </c>
      <c r="J156" s="130">
        <v>169883</v>
      </c>
      <c r="K156" s="130">
        <f t="shared" si="17"/>
        <v>11721927</v>
      </c>
      <c r="L156" s="129" t="str">
        <f t="shared" si="18"/>
        <v>OK</v>
      </c>
    </row>
    <row r="157" spans="1:12" ht="15" x14ac:dyDescent="0.25">
      <c r="A157" s="80">
        <v>5.2500000000000098</v>
      </c>
      <c r="B157" s="131" t="s">
        <v>236</v>
      </c>
      <c r="C157" s="80" t="s">
        <v>2</v>
      </c>
      <c r="D157" s="81">
        <v>140</v>
      </c>
      <c r="E157" s="130">
        <v>32391</v>
      </c>
      <c r="F157" s="128">
        <f t="shared" si="14"/>
        <v>4534740</v>
      </c>
      <c r="G157" s="130">
        <v>32180</v>
      </c>
      <c r="H157" s="130">
        <f t="shared" si="15"/>
        <v>4505200</v>
      </c>
      <c r="I157" s="129" t="str">
        <f t="shared" si="16"/>
        <v>OK</v>
      </c>
      <c r="J157" s="130">
        <v>32213</v>
      </c>
      <c r="K157" s="130">
        <f t="shared" si="17"/>
        <v>4509820</v>
      </c>
      <c r="L157" s="129" t="str">
        <f t="shared" si="18"/>
        <v>OK</v>
      </c>
    </row>
    <row r="158" spans="1:12" ht="15" x14ac:dyDescent="0.25">
      <c r="A158" s="80">
        <v>5.2600000000000096</v>
      </c>
      <c r="B158" s="131" t="s">
        <v>237</v>
      </c>
      <c r="C158" s="80" t="s">
        <v>2</v>
      </c>
      <c r="D158" s="81">
        <v>9</v>
      </c>
      <c r="E158" s="130">
        <v>1879912</v>
      </c>
      <c r="F158" s="128">
        <f t="shared" si="14"/>
        <v>16919208</v>
      </c>
      <c r="G158" s="130">
        <v>1867693</v>
      </c>
      <c r="H158" s="130">
        <f t="shared" si="15"/>
        <v>16809237</v>
      </c>
      <c r="I158" s="129" t="str">
        <f t="shared" si="16"/>
        <v>OK</v>
      </c>
      <c r="J158" s="130">
        <v>1869572</v>
      </c>
      <c r="K158" s="130">
        <f t="shared" si="17"/>
        <v>16826148</v>
      </c>
      <c r="L158" s="129" t="str">
        <f t="shared" si="18"/>
        <v>OK</v>
      </c>
    </row>
    <row r="159" spans="1:12" ht="15" x14ac:dyDescent="0.25">
      <c r="A159" s="80">
        <v>5.2700000000000102</v>
      </c>
      <c r="B159" s="131" t="s">
        <v>238</v>
      </c>
      <c r="C159" s="80" t="s">
        <v>2</v>
      </c>
      <c r="D159" s="81">
        <v>3</v>
      </c>
      <c r="E159" s="130">
        <v>327129</v>
      </c>
      <c r="F159" s="128">
        <f t="shared" si="14"/>
        <v>981387</v>
      </c>
      <c r="G159" s="130">
        <v>325003</v>
      </c>
      <c r="H159" s="130">
        <f t="shared" si="15"/>
        <v>975009</v>
      </c>
      <c r="I159" s="129" t="str">
        <f t="shared" si="16"/>
        <v>OK</v>
      </c>
      <c r="J159" s="130">
        <v>325330</v>
      </c>
      <c r="K159" s="130">
        <f t="shared" si="17"/>
        <v>975990</v>
      </c>
      <c r="L159" s="129" t="str">
        <f t="shared" si="18"/>
        <v>OK</v>
      </c>
    </row>
    <row r="160" spans="1:12" ht="15" x14ac:dyDescent="0.25">
      <c r="A160" s="80">
        <v>5.28000000000001</v>
      </c>
      <c r="B160" s="131" t="s">
        <v>239</v>
      </c>
      <c r="C160" s="80" t="s">
        <v>2</v>
      </c>
      <c r="D160" s="81">
        <v>1</v>
      </c>
      <c r="E160" s="130">
        <v>828182</v>
      </c>
      <c r="F160" s="128">
        <f t="shared" si="14"/>
        <v>828182</v>
      </c>
      <c r="G160" s="130">
        <v>822799</v>
      </c>
      <c r="H160" s="130">
        <f t="shared" si="15"/>
        <v>822799</v>
      </c>
      <c r="I160" s="129" t="str">
        <f t="shared" si="16"/>
        <v>OK</v>
      </c>
      <c r="J160" s="130">
        <v>823627</v>
      </c>
      <c r="K160" s="130">
        <f t="shared" si="17"/>
        <v>823627</v>
      </c>
      <c r="L160" s="129" t="str">
        <f t="shared" si="18"/>
        <v>OK</v>
      </c>
    </row>
    <row r="161" spans="1:12" ht="15" x14ac:dyDescent="0.25">
      <c r="A161" s="80">
        <v>5.2900000000000098</v>
      </c>
      <c r="B161" s="131" t="s">
        <v>240</v>
      </c>
      <c r="C161" s="80" t="s">
        <v>2</v>
      </c>
      <c r="D161" s="81">
        <v>4</v>
      </c>
      <c r="E161" s="130">
        <v>989580</v>
      </c>
      <c r="F161" s="128">
        <f t="shared" si="14"/>
        <v>3958320</v>
      </c>
      <c r="G161" s="130">
        <v>983148</v>
      </c>
      <c r="H161" s="130">
        <f t="shared" si="15"/>
        <v>3932592</v>
      </c>
      <c r="I161" s="129" t="str">
        <f t="shared" si="16"/>
        <v>OK</v>
      </c>
      <c r="J161" s="130">
        <v>984137</v>
      </c>
      <c r="K161" s="130">
        <f t="shared" si="17"/>
        <v>3936548</v>
      </c>
      <c r="L161" s="129" t="str">
        <f t="shared" si="18"/>
        <v>OK</v>
      </c>
    </row>
    <row r="162" spans="1:12" ht="15" x14ac:dyDescent="0.25">
      <c r="A162" s="80">
        <v>5.3000000000000096</v>
      </c>
      <c r="B162" s="131" t="s">
        <v>241</v>
      </c>
      <c r="C162" s="80" t="s">
        <v>2</v>
      </c>
      <c r="D162" s="81">
        <v>1</v>
      </c>
      <c r="E162" s="130">
        <v>1906299</v>
      </c>
      <c r="F162" s="128">
        <f t="shared" si="14"/>
        <v>1906299</v>
      </c>
      <c r="G162" s="130">
        <v>1893908</v>
      </c>
      <c r="H162" s="130">
        <f t="shared" si="15"/>
        <v>1893908</v>
      </c>
      <c r="I162" s="129" t="str">
        <f t="shared" si="16"/>
        <v>OK</v>
      </c>
      <c r="J162" s="130">
        <v>1895814</v>
      </c>
      <c r="K162" s="130">
        <f t="shared" si="17"/>
        <v>1895814</v>
      </c>
      <c r="L162" s="129" t="str">
        <f t="shared" si="18"/>
        <v>OK</v>
      </c>
    </row>
    <row r="163" spans="1:12" ht="15" x14ac:dyDescent="0.25">
      <c r="A163" s="80">
        <v>5.31</v>
      </c>
      <c r="B163" s="131" t="s">
        <v>242</v>
      </c>
      <c r="C163" s="80" t="s">
        <v>2</v>
      </c>
      <c r="D163" s="81">
        <v>1</v>
      </c>
      <c r="E163" s="130">
        <v>5316338</v>
      </c>
      <c r="F163" s="128">
        <f t="shared" si="14"/>
        <v>5316338</v>
      </c>
      <c r="G163" s="130">
        <v>5281782</v>
      </c>
      <c r="H163" s="130">
        <f t="shared" si="15"/>
        <v>5281782</v>
      </c>
      <c r="I163" s="129" t="str">
        <f t="shared" si="16"/>
        <v>OK</v>
      </c>
      <c r="J163" s="130">
        <v>5287098</v>
      </c>
      <c r="K163" s="130">
        <f t="shared" si="17"/>
        <v>5287098</v>
      </c>
      <c r="L163" s="129" t="str">
        <f t="shared" si="18"/>
        <v>OK</v>
      </c>
    </row>
    <row r="164" spans="1:12" ht="15" x14ac:dyDescent="0.25">
      <c r="A164" s="80">
        <v>5.32</v>
      </c>
      <c r="B164" s="131" t="s">
        <v>243</v>
      </c>
      <c r="C164" s="80" t="s">
        <v>2</v>
      </c>
      <c r="D164" s="81">
        <v>1</v>
      </c>
      <c r="E164" s="130">
        <v>21698248</v>
      </c>
      <c r="F164" s="128">
        <f t="shared" si="14"/>
        <v>21698248</v>
      </c>
      <c r="G164" s="130">
        <v>21557209</v>
      </c>
      <c r="H164" s="130">
        <f t="shared" si="15"/>
        <v>21557209</v>
      </c>
      <c r="I164" s="129" t="str">
        <f t="shared" si="16"/>
        <v>OK</v>
      </c>
      <c r="J164" s="130">
        <v>21578908</v>
      </c>
      <c r="K164" s="130">
        <f t="shared" si="17"/>
        <v>21578908</v>
      </c>
      <c r="L164" s="129" t="str">
        <f t="shared" si="18"/>
        <v>OK</v>
      </c>
    </row>
    <row r="165" spans="1:12" ht="15" x14ac:dyDescent="0.25">
      <c r="A165" s="80"/>
      <c r="B165" s="131"/>
      <c r="C165" s="80"/>
      <c r="D165" s="81"/>
      <c r="E165" s="130"/>
      <c r="F165" s="128">
        <f t="shared" si="14"/>
        <v>0</v>
      </c>
      <c r="G165" s="130"/>
      <c r="H165" s="130">
        <f t="shared" si="15"/>
        <v>0</v>
      </c>
      <c r="I165" s="129" t="str">
        <f t="shared" si="16"/>
        <v>OK</v>
      </c>
      <c r="J165" s="130"/>
      <c r="K165" s="130">
        <f t="shared" si="17"/>
        <v>0</v>
      </c>
      <c r="L165" s="129" t="str">
        <f t="shared" si="18"/>
        <v>OK</v>
      </c>
    </row>
    <row r="166" spans="1:12" ht="15" x14ac:dyDescent="0.25">
      <c r="A166" s="80"/>
      <c r="B166" s="130" t="s">
        <v>244</v>
      </c>
      <c r="C166" s="80"/>
      <c r="D166" s="81"/>
      <c r="E166" s="130"/>
      <c r="F166" s="128">
        <f t="shared" si="14"/>
        <v>0</v>
      </c>
      <c r="G166" s="130"/>
      <c r="H166" s="130">
        <f t="shared" si="15"/>
        <v>0</v>
      </c>
      <c r="I166" s="129" t="str">
        <f t="shared" si="16"/>
        <v>OK</v>
      </c>
      <c r="J166" s="130"/>
      <c r="K166" s="130">
        <f t="shared" si="17"/>
        <v>0</v>
      </c>
      <c r="L166" s="129" t="str">
        <f t="shared" si="18"/>
        <v>OK</v>
      </c>
    </row>
    <row r="167" spans="1:12" ht="15" x14ac:dyDescent="0.25">
      <c r="A167" s="80"/>
      <c r="B167" s="131"/>
      <c r="C167" s="80"/>
      <c r="D167" s="81"/>
      <c r="E167" s="130"/>
      <c r="F167" s="128">
        <f t="shared" si="14"/>
        <v>0</v>
      </c>
      <c r="G167" s="130"/>
      <c r="H167" s="130">
        <f t="shared" si="15"/>
        <v>0</v>
      </c>
      <c r="I167" s="129" t="str">
        <f t="shared" si="16"/>
        <v>OK</v>
      </c>
      <c r="J167" s="130"/>
      <c r="K167" s="130">
        <f t="shared" si="17"/>
        <v>0</v>
      </c>
      <c r="L167" s="129" t="str">
        <f t="shared" si="18"/>
        <v>OK</v>
      </c>
    </row>
    <row r="168" spans="1:12" ht="15" x14ac:dyDescent="0.25">
      <c r="A168" s="80">
        <v>6</v>
      </c>
      <c r="B168" s="131" t="s">
        <v>245</v>
      </c>
      <c r="C168" s="80"/>
      <c r="D168" s="81"/>
      <c r="E168" s="130"/>
      <c r="F168" s="128">
        <f t="shared" si="14"/>
        <v>0</v>
      </c>
      <c r="G168" s="130"/>
      <c r="H168" s="130">
        <f t="shared" si="15"/>
        <v>0</v>
      </c>
      <c r="I168" s="129" t="str">
        <f t="shared" si="16"/>
        <v>OK</v>
      </c>
      <c r="J168" s="130"/>
      <c r="K168" s="130">
        <f t="shared" si="17"/>
        <v>0</v>
      </c>
      <c r="L168" s="129" t="str">
        <f t="shared" si="18"/>
        <v>OK</v>
      </c>
    </row>
    <row r="169" spans="1:12" ht="25.5" x14ac:dyDescent="0.25">
      <c r="A169" s="80">
        <v>6.1</v>
      </c>
      <c r="B169" s="131" t="s">
        <v>246</v>
      </c>
      <c r="C169" s="80" t="s">
        <v>2</v>
      </c>
      <c r="D169" s="81">
        <v>1</v>
      </c>
      <c r="E169" s="130">
        <v>5751811</v>
      </c>
      <c r="F169" s="128">
        <f t="shared" si="14"/>
        <v>5751811</v>
      </c>
      <c r="G169" s="130">
        <v>5714424</v>
      </c>
      <c r="H169" s="130">
        <f t="shared" si="15"/>
        <v>5714424</v>
      </c>
      <c r="I169" s="129" t="str">
        <f t="shared" si="16"/>
        <v>OK</v>
      </c>
      <c r="J169" s="130">
        <v>5720176</v>
      </c>
      <c r="K169" s="130">
        <f t="shared" si="17"/>
        <v>5720176</v>
      </c>
      <c r="L169" s="129" t="str">
        <f t="shared" si="18"/>
        <v>OK</v>
      </c>
    </row>
    <row r="170" spans="1:12" ht="25.5" x14ac:dyDescent="0.25">
      <c r="A170" s="80">
        <v>6.2</v>
      </c>
      <c r="B170" s="131" t="s">
        <v>247</v>
      </c>
      <c r="C170" s="80" t="s">
        <v>2</v>
      </c>
      <c r="D170" s="81">
        <v>1</v>
      </c>
      <c r="E170" s="130">
        <v>2358021</v>
      </c>
      <c r="F170" s="128">
        <f t="shared" si="14"/>
        <v>2358021</v>
      </c>
      <c r="G170" s="130">
        <v>2342694</v>
      </c>
      <c r="H170" s="130">
        <f t="shared" si="15"/>
        <v>2342694</v>
      </c>
      <c r="I170" s="129" t="str">
        <f t="shared" si="16"/>
        <v>OK</v>
      </c>
      <c r="J170" s="130">
        <v>2345052</v>
      </c>
      <c r="K170" s="130">
        <f t="shared" si="17"/>
        <v>2345052</v>
      </c>
      <c r="L170" s="129" t="str">
        <f t="shared" si="18"/>
        <v>OK</v>
      </c>
    </row>
    <row r="171" spans="1:12" ht="25.5" x14ac:dyDescent="0.25">
      <c r="A171" s="80">
        <v>6.3</v>
      </c>
      <c r="B171" s="131" t="s">
        <v>248</v>
      </c>
      <c r="C171" s="80" t="s">
        <v>2</v>
      </c>
      <c r="D171" s="81">
        <v>1</v>
      </c>
      <c r="E171" s="130">
        <v>4306675.0999999996</v>
      </c>
      <c r="F171" s="128">
        <f t="shared" si="14"/>
        <v>4306675</v>
      </c>
      <c r="G171" s="130">
        <v>4278682</v>
      </c>
      <c r="H171" s="130">
        <f t="shared" si="15"/>
        <v>4278682</v>
      </c>
      <c r="I171" s="129" t="str">
        <f t="shared" si="16"/>
        <v>OK</v>
      </c>
      <c r="J171" s="130">
        <v>4282988</v>
      </c>
      <c r="K171" s="130">
        <f t="shared" si="17"/>
        <v>4282988</v>
      </c>
      <c r="L171" s="129" t="str">
        <f t="shared" si="18"/>
        <v>OK</v>
      </c>
    </row>
    <row r="172" spans="1:12" ht="15" x14ac:dyDescent="0.25">
      <c r="A172" s="80"/>
      <c r="B172" s="131"/>
      <c r="C172" s="80"/>
      <c r="D172" s="81"/>
      <c r="E172" s="130"/>
      <c r="F172" s="128">
        <f t="shared" si="14"/>
        <v>0</v>
      </c>
      <c r="G172" s="130"/>
      <c r="H172" s="130">
        <f t="shared" si="15"/>
        <v>0</v>
      </c>
      <c r="I172" s="129" t="str">
        <f t="shared" si="16"/>
        <v>OK</v>
      </c>
      <c r="J172" s="130"/>
      <c r="K172" s="130">
        <f t="shared" si="17"/>
        <v>0</v>
      </c>
      <c r="L172" s="129" t="str">
        <f t="shared" si="18"/>
        <v>OK</v>
      </c>
    </row>
    <row r="173" spans="1:12" ht="15" x14ac:dyDescent="0.25">
      <c r="A173" s="80"/>
      <c r="B173" s="130" t="s">
        <v>249</v>
      </c>
      <c r="C173" s="80"/>
      <c r="D173" s="81"/>
      <c r="E173" s="130"/>
      <c r="F173" s="128">
        <f t="shared" si="14"/>
        <v>0</v>
      </c>
      <c r="G173" s="130"/>
      <c r="H173" s="130">
        <f t="shared" si="15"/>
        <v>0</v>
      </c>
      <c r="I173" s="129" t="str">
        <f t="shared" si="16"/>
        <v>OK</v>
      </c>
      <c r="J173" s="130"/>
      <c r="K173" s="130">
        <f t="shared" si="17"/>
        <v>0</v>
      </c>
      <c r="L173" s="129" t="str">
        <f t="shared" si="18"/>
        <v>OK</v>
      </c>
    </row>
    <row r="174" spans="1:12" ht="15" x14ac:dyDescent="0.25">
      <c r="A174" s="80"/>
      <c r="B174" s="131"/>
      <c r="C174" s="80"/>
      <c r="D174" s="81"/>
      <c r="E174" s="130"/>
      <c r="F174" s="128">
        <f t="shared" si="14"/>
        <v>0</v>
      </c>
      <c r="G174" s="130"/>
      <c r="H174" s="130">
        <f t="shared" si="15"/>
        <v>0</v>
      </c>
      <c r="I174" s="129" t="str">
        <f t="shared" si="16"/>
        <v>OK</v>
      </c>
      <c r="J174" s="130"/>
      <c r="K174" s="130">
        <f t="shared" si="17"/>
        <v>0</v>
      </c>
      <c r="L174" s="129" t="str">
        <f t="shared" si="18"/>
        <v>OK</v>
      </c>
    </row>
    <row r="175" spans="1:12" ht="15" x14ac:dyDescent="0.25">
      <c r="A175" s="80">
        <v>7</v>
      </c>
      <c r="B175" s="131" t="s">
        <v>250</v>
      </c>
      <c r="C175" s="80"/>
      <c r="D175" s="81"/>
      <c r="E175" s="130"/>
      <c r="F175" s="128">
        <f t="shared" si="14"/>
        <v>0</v>
      </c>
      <c r="G175" s="130"/>
      <c r="H175" s="130">
        <f t="shared" si="15"/>
        <v>0</v>
      </c>
      <c r="I175" s="129" t="str">
        <f t="shared" si="16"/>
        <v>OK</v>
      </c>
      <c r="J175" s="130"/>
      <c r="K175" s="130">
        <f t="shared" si="17"/>
        <v>0</v>
      </c>
      <c r="L175" s="129" t="str">
        <f t="shared" si="18"/>
        <v>OK</v>
      </c>
    </row>
    <row r="176" spans="1:12" ht="15" x14ac:dyDescent="0.25">
      <c r="A176" s="80">
        <v>7.1</v>
      </c>
      <c r="B176" s="131" t="s">
        <v>251</v>
      </c>
      <c r="C176" s="80" t="s">
        <v>2</v>
      </c>
      <c r="D176" s="81">
        <v>651</v>
      </c>
      <c r="E176" s="130">
        <v>214591</v>
      </c>
      <c r="F176" s="128">
        <f t="shared" si="14"/>
        <v>139698741</v>
      </c>
      <c r="G176" s="130">
        <v>212445</v>
      </c>
      <c r="H176" s="130">
        <f t="shared" si="15"/>
        <v>138301695</v>
      </c>
      <c r="I176" s="129" t="str">
        <f t="shared" si="16"/>
        <v>OK</v>
      </c>
      <c r="J176" s="130">
        <v>213411</v>
      </c>
      <c r="K176" s="130">
        <f t="shared" si="17"/>
        <v>138930561</v>
      </c>
      <c r="L176" s="129" t="str">
        <f t="shared" si="18"/>
        <v>OK</v>
      </c>
    </row>
    <row r="177" spans="1:12" ht="15" x14ac:dyDescent="0.25">
      <c r="A177" s="80">
        <v>7.2</v>
      </c>
      <c r="B177" s="131" t="s">
        <v>252</v>
      </c>
      <c r="C177" s="80" t="s">
        <v>2</v>
      </c>
      <c r="D177" s="81">
        <v>52</v>
      </c>
      <c r="E177" s="130">
        <v>565429</v>
      </c>
      <c r="F177" s="128">
        <f t="shared" si="14"/>
        <v>29402308</v>
      </c>
      <c r="G177" s="130">
        <v>561754</v>
      </c>
      <c r="H177" s="130">
        <f t="shared" si="15"/>
        <v>29211208</v>
      </c>
      <c r="I177" s="129" t="str">
        <f t="shared" si="16"/>
        <v>OK</v>
      </c>
      <c r="J177" s="130">
        <v>562319</v>
      </c>
      <c r="K177" s="130">
        <f t="shared" si="17"/>
        <v>29240588</v>
      </c>
      <c r="L177" s="129" t="str">
        <f t="shared" si="18"/>
        <v>OK</v>
      </c>
    </row>
    <row r="178" spans="1:12" ht="15" x14ac:dyDescent="0.25">
      <c r="A178" s="80">
        <v>7.3</v>
      </c>
      <c r="B178" s="131" t="s">
        <v>253</v>
      </c>
      <c r="C178" s="80" t="s">
        <v>2</v>
      </c>
      <c r="D178" s="81">
        <v>453</v>
      </c>
      <c r="E178" s="130">
        <v>140769</v>
      </c>
      <c r="F178" s="128">
        <f t="shared" si="14"/>
        <v>63768357</v>
      </c>
      <c r="G178" s="130">
        <v>139854</v>
      </c>
      <c r="H178" s="130">
        <f t="shared" si="15"/>
        <v>63353862</v>
      </c>
      <c r="I178" s="129" t="str">
        <f t="shared" si="16"/>
        <v>OK</v>
      </c>
      <c r="J178" s="130">
        <v>139995</v>
      </c>
      <c r="K178" s="130">
        <f t="shared" si="17"/>
        <v>63417735</v>
      </c>
      <c r="L178" s="129" t="str">
        <f t="shared" si="18"/>
        <v>OK</v>
      </c>
    </row>
    <row r="179" spans="1:12" ht="15" x14ac:dyDescent="0.25">
      <c r="A179" s="80">
        <v>7.4</v>
      </c>
      <c r="B179" s="131" t="s">
        <v>254</v>
      </c>
      <c r="C179" s="80" t="s">
        <v>2</v>
      </c>
      <c r="D179" s="81">
        <v>2</v>
      </c>
      <c r="E179" s="130">
        <v>175560</v>
      </c>
      <c r="F179" s="128">
        <f t="shared" si="14"/>
        <v>351120</v>
      </c>
      <c r="G179" s="130">
        <v>174419</v>
      </c>
      <c r="H179" s="130">
        <f t="shared" si="15"/>
        <v>348838</v>
      </c>
      <c r="I179" s="129" t="str">
        <f t="shared" si="16"/>
        <v>OK</v>
      </c>
      <c r="J179" s="130">
        <v>174594</v>
      </c>
      <c r="K179" s="130">
        <f t="shared" si="17"/>
        <v>349188</v>
      </c>
      <c r="L179" s="129" t="str">
        <f t="shared" si="18"/>
        <v>OK</v>
      </c>
    </row>
    <row r="180" spans="1:12" ht="15" x14ac:dyDescent="0.25">
      <c r="A180" s="80">
        <v>7.5</v>
      </c>
      <c r="B180" s="131" t="s">
        <v>255</v>
      </c>
      <c r="C180" s="80" t="s">
        <v>2</v>
      </c>
      <c r="D180" s="81">
        <v>6</v>
      </c>
      <c r="E180" s="130">
        <v>156854</v>
      </c>
      <c r="F180" s="128">
        <f t="shared" si="14"/>
        <v>941124</v>
      </c>
      <c r="G180" s="130">
        <v>155834</v>
      </c>
      <c r="H180" s="130">
        <f t="shared" si="15"/>
        <v>935004</v>
      </c>
      <c r="I180" s="129" t="str">
        <f t="shared" si="16"/>
        <v>OK</v>
      </c>
      <c r="J180" s="130">
        <v>155991</v>
      </c>
      <c r="K180" s="130">
        <f t="shared" si="17"/>
        <v>935946</v>
      </c>
      <c r="L180" s="129" t="str">
        <f t="shared" si="18"/>
        <v>OK</v>
      </c>
    </row>
    <row r="181" spans="1:12" ht="15" x14ac:dyDescent="0.25">
      <c r="A181" s="80">
        <v>7.6</v>
      </c>
      <c r="B181" s="131" t="s">
        <v>256</v>
      </c>
      <c r="C181" s="80" t="s">
        <v>2</v>
      </c>
      <c r="D181" s="81">
        <v>493</v>
      </c>
      <c r="E181" s="130">
        <v>88487</v>
      </c>
      <c r="F181" s="128">
        <f t="shared" si="14"/>
        <v>43624091</v>
      </c>
      <c r="G181" s="130">
        <v>87912</v>
      </c>
      <c r="H181" s="130">
        <f t="shared" si="15"/>
        <v>43340616</v>
      </c>
      <c r="I181" s="129" t="str">
        <f t="shared" si="16"/>
        <v>OK</v>
      </c>
      <c r="J181" s="130">
        <v>88000</v>
      </c>
      <c r="K181" s="130">
        <f t="shared" si="17"/>
        <v>43384000</v>
      </c>
      <c r="L181" s="129" t="str">
        <f t="shared" si="18"/>
        <v>OK</v>
      </c>
    </row>
    <row r="182" spans="1:12" ht="15" x14ac:dyDescent="0.25">
      <c r="A182" s="80">
        <v>7.7</v>
      </c>
      <c r="B182" s="131" t="s">
        <v>257</v>
      </c>
      <c r="C182" s="80" t="s">
        <v>2</v>
      </c>
      <c r="D182" s="81">
        <v>4</v>
      </c>
      <c r="E182" s="130">
        <v>170940</v>
      </c>
      <c r="F182" s="128">
        <f t="shared" si="14"/>
        <v>683760</v>
      </c>
      <c r="G182" s="130">
        <v>169829</v>
      </c>
      <c r="H182" s="130">
        <f t="shared" si="15"/>
        <v>679316</v>
      </c>
      <c r="I182" s="129" t="str">
        <f t="shared" si="16"/>
        <v>OK</v>
      </c>
      <c r="J182" s="130">
        <v>170000</v>
      </c>
      <c r="K182" s="130">
        <f t="shared" si="17"/>
        <v>680000</v>
      </c>
      <c r="L182" s="129" t="str">
        <f t="shared" si="18"/>
        <v>OK</v>
      </c>
    </row>
    <row r="183" spans="1:12" ht="15" x14ac:dyDescent="0.25">
      <c r="A183" s="80">
        <v>7.8</v>
      </c>
      <c r="B183" s="131" t="s">
        <v>258</v>
      </c>
      <c r="C183" s="80" t="s">
        <v>2</v>
      </c>
      <c r="D183" s="81">
        <v>21</v>
      </c>
      <c r="E183" s="130">
        <v>176784</v>
      </c>
      <c r="F183" s="128">
        <f t="shared" si="14"/>
        <v>3712464</v>
      </c>
      <c r="G183" s="130">
        <v>175635</v>
      </c>
      <c r="H183" s="130">
        <f t="shared" si="15"/>
        <v>3688335</v>
      </c>
      <c r="I183" s="129" t="str">
        <f t="shared" si="16"/>
        <v>OK</v>
      </c>
      <c r="J183" s="130">
        <v>175812</v>
      </c>
      <c r="K183" s="130">
        <f t="shared" si="17"/>
        <v>3692052</v>
      </c>
      <c r="L183" s="129" t="str">
        <f t="shared" si="18"/>
        <v>OK</v>
      </c>
    </row>
    <row r="184" spans="1:12" ht="15" x14ac:dyDescent="0.25">
      <c r="A184" s="80">
        <v>7.9</v>
      </c>
      <c r="B184" s="131" t="s">
        <v>259</v>
      </c>
      <c r="C184" s="80" t="s">
        <v>2</v>
      </c>
      <c r="D184" s="81">
        <v>13</v>
      </c>
      <c r="E184" s="130">
        <v>195676</v>
      </c>
      <c r="F184" s="128">
        <f t="shared" si="14"/>
        <v>2543788</v>
      </c>
      <c r="G184" s="130">
        <v>194404</v>
      </c>
      <c r="H184" s="130">
        <f t="shared" si="15"/>
        <v>2527252</v>
      </c>
      <c r="I184" s="129" t="str">
        <f t="shared" si="16"/>
        <v>OK</v>
      </c>
      <c r="J184" s="130">
        <v>194600</v>
      </c>
      <c r="K184" s="130">
        <f t="shared" si="17"/>
        <v>2529800</v>
      </c>
      <c r="L184" s="129" t="str">
        <f t="shared" si="18"/>
        <v>OK</v>
      </c>
    </row>
    <row r="185" spans="1:12" ht="15" x14ac:dyDescent="0.25">
      <c r="A185" s="80">
        <v>7.1</v>
      </c>
      <c r="B185" s="131" t="s">
        <v>260</v>
      </c>
      <c r="C185" s="80" t="s">
        <v>2</v>
      </c>
      <c r="D185" s="81">
        <v>212</v>
      </c>
      <c r="E185" s="130">
        <v>422254</v>
      </c>
      <c r="F185" s="128">
        <f t="shared" si="14"/>
        <v>89517848</v>
      </c>
      <c r="G185" s="130">
        <v>419509</v>
      </c>
      <c r="H185" s="130">
        <f t="shared" si="15"/>
        <v>88935908</v>
      </c>
      <c r="I185" s="129" t="str">
        <f t="shared" si="16"/>
        <v>OK</v>
      </c>
      <c r="J185" s="130">
        <v>419932</v>
      </c>
      <c r="K185" s="130">
        <f t="shared" si="17"/>
        <v>89025584</v>
      </c>
      <c r="L185" s="129" t="str">
        <f t="shared" si="18"/>
        <v>OK</v>
      </c>
    </row>
    <row r="186" spans="1:12" ht="15" x14ac:dyDescent="0.25">
      <c r="A186" s="80">
        <v>7.11</v>
      </c>
      <c r="B186" s="131" t="s">
        <v>261</v>
      </c>
      <c r="C186" s="80" t="s">
        <v>2</v>
      </c>
      <c r="D186" s="81">
        <v>190</v>
      </c>
      <c r="E186" s="130">
        <v>220421.5</v>
      </c>
      <c r="F186" s="128">
        <f t="shared" si="14"/>
        <v>41880085</v>
      </c>
      <c r="G186" s="130">
        <v>218989</v>
      </c>
      <c r="H186" s="130">
        <f t="shared" si="15"/>
        <v>41607910</v>
      </c>
      <c r="I186" s="129" t="str">
        <f t="shared" si="16"/>
        <v>OK</v>
      </c>
      <c r="J186" s="130">
        <v>219209</v>
      </c>
      <c r="K186" s="130">
        <f t="shared" si="17"/>
        <v>41649710</v>
      </c>
      <c r="L186" s="129" t="str">
        <f t="shared" si="18"/>
        <v>OK</v>
      </c>
    </row>
    <row r="187" spans="1:12" ht="15" x14ac:dyDescent="0.25">
      <c r="A187" s="80">
        <v>7.12</v>
      </c>
      <c r="B187" s="131" t="s">
        <v>262</v>
      </c>
      <c r="C187" s="80" t="s">
        <v>2</v>
      </c>
      <c r="D187" s="81">
        <v>1</v>
      </c>
      <c r="E187" s="130">
        <v>42080350</v>
      </c>
      <c r="F187" s="128">
        <f t="shared" si="14"/>
        <v>42080350</v>
      </c>
      <c r="G187" s="130">
        <v>41806828</v>
      </c>
      <c r="H187" s="130">
        <f t="shared" si="15"/>
        <v>41806828</v>
      </c>
      <c r="I187" s="129" t="str">
        <f t="shared" si="16"/>
        <v>OK</v>
      </c>
      <c r="J187" s="130">
        <v>41848908</v>
      </c>
      <c r="K187" s="130">
        <f t="shared" si="17"/>
        <v>41848908</v>
      </c>
      <c r="L187" s="129" t="str">
        <f t="shared" si="18"/>
        <v>OK</v>
      </c>
    </row>
    <row r="188" spans="1:12" ht="15" x14ac:dyDescent="0.25">
      <c r="A188" s="80">
        <v>7.13</v>
      </c>
      <c r="B188" s="131" t="s">
        <v>263</v>
      </c>
      <c r="C188" s="80" t="s">
        <v>2</v>
      </c>
      <c r="D188" s="81">
        <v>1</v>
      </c>
      <c r="E188" s="130">
        <v>48219964</v>
      </c>
      <c r="F188" s="128">
        <f t="shared" si="14"/>
        <v>48219964</v>
      </c>
      <c r="G188" s="130">
        <v>47906534</v>
      </c>
      <c r="H188" s="130">
        <f t="shared" si="15"/>
        <v>47906534</v>
      </c>
      <c r="I188" s="129" t="str">
        <f t="shared" si="16"/>
        <v>OK</v>
      </c>
      <c r="J188" s="130">
        <v>47954754</v>
      </c>
      <c r="K188" s="130">
        <f t="shared" si="17"/>
        <v>47954754</v>
      </c>
      <c r="L188" s="129" t="str">
        <f t="shared" si="18"/>
        <v>OK</v>
      </c>
    </row>
    <row r="189" spans="1:12" ht="25.5" x14ac:dyDescent="0.25">
      <c r="A189" s="80">
        <v>7.14</v>
      </c>
      <c r="B189" s="131" t="s">
        <v>264</v>
      </c>
      <c r="C189" s="80" t="s">
        <v>2</v>
      </c>
      <c r="D189" s="81">
        <v>3</v>
      </c>
      <c r="E189" s="130">
        <v>789051</v>
      </c>
      <c r="F189" s="128">
        <f t="shared" si="14"/>
        <v>2367153</v>
      </c>
      <c r="G189" s="130">
        <v>783922</v>
      </c>
      <c r="H189" s="130">
        <f t="shared" si="15"/>
        <v>2351766</v>
      </c>
      <c r="I189" s="129" t="str">
        <f t="shared" si="16"/>
        <v>OK</v>
      </c>
      <c r="J189" s="130">
        <v>784711</v>
      </c>
      <c r="K189" s="130">
        <f t="shared" si="17"/>
        <v>2354133</v>
      </c>
      <c r="L189" s="129" t="str">
        <f t="shared" si="18"/>
        <v>OK</v>
      </c>
    </row>
    <row r="190" spans="1:12" ht="25.5" x14ac:dyDescent="0.25">
      <c r="A190" s="80">
        <v>7.15</v>
      </c>
      <c r="B190" s="131" t="s">
        <v>265</v>
      </c>
      <c r="C190" s="80" t="s">
        <v>2</v>
      </c>
      <c r="D190" s="81">
        <v>3</v>
      </c>
      <c r="E190" s="130">
        <v>737571</v>
      </c>
      <c r="F190" s="128">
        <f t="shared" si="14"/>
        <v>2212713</v>
      </c>
      <c r="G190" s="130">
        <v>732777</v>
      </c>
      <c r="H190" s="130">
        <f t="shared" si="15"/>
        <v>2198331</v>
      </c>
      <c r="I190" s="129" t="str">
        <f t="shared" si="16"/>
        <v>OK</v>
      </c>
      <c r="J190" s="130">
        <v>733514</v>
      </c>
      <c r="K190" s="130">
        <f t="shared" si="17"/>
        <v>2200542</v>
      </c>
      <c r="L190" s="129" t="str">
        <f t="shared" si="18"/>
        <v>OK</v>
      </c>
    </row>
    <row r="191" spans="1:12" ht="25.5" x14ac:dyDescent="0.25">
      <c r="A191" s="80">
        <v>7.16</v>
      </c>
      <c r="B191" s="131" t="s">
        <v>266</v>
      </c>
      <c r="C191" s="80" t="s">
        <v>2</v>
      </c>
      <c r="D191" s="81">
        <v>2</v>
      </c>
      <c r="E191" s="130">
        <v>667371</v>
      </c>
      <c r="F191" s="128">
        <f t="shared" si="14"/>
        <v>1334742</v>
      </c>
      <c r="G191" s="130">
        <v>663033</v>
      </c>
      <c r="H191" s="130">
        <f t="shared" si="15"/>
        <v>1326066</v>
      </c>
      <c r="I191" s="129" t="str">
        <f t="shared" si="16"/>
        <v>OK</v>
      </c>
      <c r="J191" s="130">
        <v>663700</v>
      </c>
      <c r="K191" s="130">
        <f t="shared" si="17"/>
        <v>1327400</v>
      </c>
      <c r="L191" s="129" t="str">
        <f t="shared" si="18"/>
        <v>OK</v>
      </c>
    </row>
    <row r="192" spans="1:12" ht="25.5" x14ac:dyDescent="0.25">
      <c r="A192" s="80">
        <v>7.17</v>
      </c>
      <c r="B192" s="131" t="s">
        <v>267</v>
      </c>
      <c r="C192" s="80" t="s">
        <v>2</v>
      </c>
      <c r="D192" s="81">
        <v>2</v>
      </c>
      <c r="E192" s="130">
        <v>583131</v>
      </c>
      <c r="F192" s="128">
        <f t="shared" si="14"/>
        <v>1166262</v>
      </c>
      <c r="G192" s="130">
        <v>579341</v>
      </c>
      <c r="H192" s="130">
        <f t="shared" si="15"/>
        <v>1158682</v>
      </c>
      <c r="I192" s="129" t="str">
        <f t="shared" si="16"/>
        <v>OK</v>
      </c>
      <c r="J192" s="130">
        <v>579924</v>
      </c>
      <c r="K192" s="130">
        <f t="shared" si="17"/>
        <v>1159848</v>
      </c>
      <c r="L192" s="129" t="str">
        <f t="shared" si="18"/>
        <v>OK</v>
      </c>
    </row>
    <row r="193" spans="1:12" ht="15" x14ac:dyDescent="0.25">
      <c r="A193" s="80">
        <v>7.1800000000000104</v>
      </c>
      <c r="B193" s="131" t="s">
        <v>268</v>
      </c>
      <c r="C193" s="80" t="s">
        <v>2</v>
      </c>
      <c r="D193" s="81">
        <v>124</v>
      </c>
      <c r="E193" s="130">
        <v>46816</v>
      </c>
      <c r="F193" s="128">
        <f t="shared" si="14"/>
        <v>5805184</v>
      </c>
      <c r="G193" s="130">
        <v>46512</v>
      </c>
      <c r="H193" s="130">
        <f t="shared" si="15"/>
        <v>5767488</v>
      </c>
      <c r="I193" s="129" t="str">
        <f t="shared" si="16"/>
        <v>OK</v>
      </c>
      <c r="J193" s="130">
        <v>46559</v>
      </c>
      <c r="K193" s="130">
        <f t="shared" si="17"/>
        <v>5773316</v>
      </c>
      <c r="L193" s="129" t="str">
        <f t="shared" si="18"/>
        <v>OK</v>
      </c>
    </row>
    <row r="194" spans="1:12" ht="15" x14ac:dyDescent="0.25">
      <c r="A194" s="80">
        <v>7.1900000000000102</v>
      </c>
      <c r="B194" s="131" t="s">
        <v>269</v>
      </c>
      <c r="C194" s="80" t="s">
        <v>2</v>
      </c>
      <c r="D194" s="81">
        <v>2</v>
      </c>
      <c r="E194" s="130">
        <v>74545</v>
      </c>
      <c r="F194" s="128">
        <f t="shared" si="14"/>
        <v>149090</v>
      </c>
      <c r="G194" s="130">
        <v>74060</v>
      </c>
      <c r="H194" s="130">
        <f t="shared" si="15"/>
        <v>148120</v>
      </c>
      <c r="I194" s="129" t="str">
        <f t="shared" si="16"/>
        <v>OK</v>
      </c>
      <c r="J194" s="130">
        <v>74135</v>
      </c>
      <c r="K194" s="130">
        <f t="shared" si="17"/>
        <v>148270</v>
      </c>
      <c r="L194" s="129" t="str">
        <f t="shared" si="18"/>
        <v>OK</v>
      </c>
    </row>
    <row r="195" spans="1:12" ht="25.5" x14ac:dyDescent="0.25">
      <c r="A195" s="80">
        <v>7.2000000000000099</v>
      </c>
      <c r="B195" s="131" t="s">
        <v>270</v>
      </c>
      <c r="C195" s="80" t="s">
        <v>88</v>
      </c>
      <c r="D195" s="81">
        <v>100</v>
      </c>
      <c r="E195" s="130">
        <v>217174</v>
      </c>
      <c r="F195" s="128">
        <f t="shared" si="14"/>
        <v>21717400</v>
      </c>
      <c r="G195" s="130">
        <v>215762</v>
      </c>
      <c r="H195" s="130">
        <f t="shared" si="15"/>
        <v>21576200</v>
      </c>
      <c r="I195" s="129" t="str">
        <f t="shared" si="16"/>
        <v>OK</v>
      </c>
      <c r="J195" s="130">
        <v>215980</v>
      </c>
      <c r="K195" s="130">
        <f t="shared" si="17"/>
        <v>21598000</v>
      </c>
      <c r="L195" s="129" t="str">
        <f t="shared" si="18"/>
        <v>OK</v>
      </c>
    </row>
    <row r="196" spans="1:12" ht="25.5" x14ac:dyDescent="0.25">
      <c r="A196" s="80">
        <v>7.2100000000000097</v>
      </c>
      <c r="B196" s="131" t="s">
        <v>271</v>
      </c>
      <c r="C196" s="80" t="s">
        <v>88</v>
      </c>
      <c r="D196" s="81">
        <v>70</v>
      </c>
      <c r="E196" s="130">
        <v>107626</v>
      </c>
      <c r="F196" s="128">
        <f t="shared" si="14"/>
        <v>7533820</v>
      </c>
      <c r="G196" s="130">
        <v>106926</v>
      </c>
      <c r="H196" s="130">
        <f t="shared" si="15"/>
        <v>7484820</v>
      </c>
      <c r="I196" s="129" t="str">
        <f t="shared" si="16"/>
        <v>OK</v>
      </c>
      <c r="J196" s="130">
        <v>107034</v>
      </c>
      <c r="K196" s="130">
        <f t="shared" si="17"/>
        <v>7492380</v>
      </c>
      <c r="L196" s="129" t="str">
        <f t="shared" si="18"/>
        <v>OK</v>
      </c>
    </row>
    <row r="197" spans="1:12" ht="25.5" x14ac:dyDescent="0.25">
      <c r="A197" s="80">
        <v>7.2200000000000104</v>
      </c>
      <c r="B197" s="131" t="s">
        <v>272</v>
      </c>
      <c r="C197" s="80" t="s">
        <v>88</v>
      </c>
      <c r="D197" s="81">
        <v>50</v>
      </c>
      <c r="E197" s="130">
        <v>100879</v>
      </c>
      <c r="F197" s="128">
        <f t="shared" si="14"/>
        <v>5043950</v>
      </c>
      <c r="G197" s="130">
        <v>100223</v>
      </c>
      <c r="H197" s="130">
        <f t="shared" si="15"/>
        <v>5011150</v>
      </c>
      <c r="I197" s="129" t="str">
        <f t="shared" si="16"/>
        <v>OK</v>
      </c>
      <c r="J197" s="130">
        <v>100324</v>
      </c>
      <c r="K197" s="130">
        <f t="shared" si="17"/>
        <v>5016200</v>
      </c>
      <c r="L197" s="129" t="str">
        <f t="shared" si="18"/>
        <v>OK</v>
      </c>
    </row>
    <row r="198" spans="1:12" ht="25.5" x14ac:dyDescent="0.25">
      <c r="A198" s="80">
        <v>7.2300000000000102</v>
      </c>
      <c r="B198" s="131" t="s">
        <v>273</v>
      </c>
      <c r="C198" s="80" t="s">
        <v>88</v>
      </c>
      <c r="D198" s="81">
        <v>65</v>
      </c>
      <c r="E198" s="130">
        <v>94249</v>
      </c>
      <c r="F198" s="128">
        <f t="shared" si="14"/>
        <v>6126185</v>
      </c>
      <c r="G198" s="130">
        <v>93636</v>
      </c>
      <c r="H198" s="130">
        <f t="shared" si="15"/>
        <v>6086340</v>
      </c>
      <c r="I198" s="129" t="str">
        <f t="shared" si="16"/>
        <v>OK</v>
      </c>
      <c r="J198" s="130">
        <v>93731</v>
      </c>
      <c r="K198" s="130">
        <f t="shared" si="17"/>
        <v>6092515</v>
      </c>
      <c r="L198" s="129" t="str">
        <f t="shared" si="18"/>
        <v>OK</v>
      </c>
    </row>
    <row r="199" spans="1:12" ht="15" x14ac:dyDescent="0.25">
      <c r="A199" s="80">
        <v>7.24000000000001</v>
      </c>
      <c r="B199" s="131" t="s">
        <v>274</v>
      </c>
      <c r="C199" s="80" t="s">
        <v>88</v>
      </c>
      <c r="D199" s="81">
        <v>550</v>
      </c>
      <c r="E199" s="130">
        <v>262804</v>
      </c>
      <c r="F199" s="128">
        <f t="shared" si="14"/>
        <v>144542200</v>
      </c>
      <c r="G199" s="130">
        <v>261096</v>
      </c>
      <c r="H199" s="130">
        <f t="shared" si="15"/>
        <v>143602800</v>
      </c>
      <c r="I199" s="129" t="str">
        <f t="shared" si="16"/>
        <v>OK</v>
      </c>
      <c r="J199" s="130">
        <v>261359</v>
      </c>
      <c r="K199" s="130">
        <f t="shared" si="17"/>
        <v>143747450</v>
      </c>
      <c r="L199" s="129" t="str">
        <f t="shared" si="18"/>
        <v>OK</v>
      </c>
    </row>
    <row r="200" spans="1:12" ht="25.5" x14ac:dyDescent="0.25">
      <c r="A200" s="80">
        <v>7.2500000000000098</v>
      </c>
      <c r="B200" s="131" t="s">
        <v>275</v>
      </c>
      <c r="C200" s="80" t="s">
        <v>2</v>
      </c>
      <c r="D200" s="81">
        <v>2</v>
      </c>
      <c r="E200" s="130">
        <v>262804</v>
      </c>
      <c r="F200" s="128">
        <f t="shared" si="14"/>
        <v>525608</v>
      </c>
      <c r="G200" s="130">
        <v>261096</v>
      </c>
      <c r="H200" s="130">
        <f t="shared" si="15"/>
        <v>522192</v>
      </c>
      <c r="I200" s="129" t="str">
        <f t="shared" si="16"/>
        <v>OK</v>
      </c>
      <c r="J200" s="130">
        <v>261359</v>
      </c>
      <c r="K200" s="130">
        <f t="shared" si="17"/>
        <v>522718</v>
      </c>
      <c r="L200" s="129" t="str">
        <f t="shared" si="18"/>
        <v>OK</v>
      </c>
    </row>
    <row r="201" spans="1:12" ht="25.5" x14ac:dyDescent="0.25">
      <c r="A201" s="80">
        <v>7.2600000000000096</v>
      </c>
      <c r="B201" s="131" t="s">
        <v>276</v>
      </c>
      <c r="C201" s="80" t="s">
        <v>2</v>
      </c>
      <c r="D201" s="81">
        <v>27</v>
      </c>
      <c r="E201" s="130">
        <v>133197</v>
      </c>
      <c r="F201" s="128">
        <f t="shared" si="14"/>
        <v>3596319</v>
      </c>
      <c r="G201" s="130">
        <v>132331</v>
      </c>
      <c r="H201" s="130">
        <f t="shared" si="15"/>
        <v>3572937</v>
      </c>
      <c r="I201" s="129" t="str">
        <f t="shared" si="16"/>
        <v>OK</v>
      </c>
      <c r="J201" s="130">
        <v>132464</v>
      </c>
      <c r="K201" s="130">
        <f t="shared" si="17"/>
        <v>3576528</v>
      </c>
      <c r="L201" s="129" t="str">
        <f t="shared" si="18"/>
        <v>OK</v>
      </c>
    </row>
    <row r="202" spans="1:12" ht="15" x14ac:dyDescent="0.25">
      <c r="A202" s="80">
        <v>7.2700000000000102</v>
      </c>
      <c r="B202" s="131" t="s">
        <v>277</v>
      </c>
      <c r="C202" s="80" t="s">
        <v>2</v>
      </c>
      <c r="D202" s="81">
        <v>375</v>
      </c>
      <c r="E202" s="130">
        <v>181808</v>
      </c>
      <c r="F202" s="128">
        <f t="shared" ref="F202:F265" si="19">ROUND($D202*E202,0)</f>
        <v>68178000</v>
      </c>
      <c r="G202" s="130">
        <v>180626</v>
      </c>
      <c r="H202" s="130">
        <f t="shared" si="15"/>
        <v>67734750</v>
      </c>
      <c r="I202" s="129" t="str">
        <f t="shared" si="16"/>
        <v>OK</v>
      </c>
      <c r="J202" s="130">
        <v>180808</v>
      </c>
      <c r="K202" s="130">
        <f t="shared" si="17"/>
        <v>67803000</v>
      </c>
      <c r="L202" s="129" t="str">
        <f t="shared" si="18"/>
        <v>OK</v>
      </c>
    </row>
    <row r="203" spans="1:12" ht="15" x14ac:dyDescent="0.25">
      <c r="A203" s="80">
        <v>7.28000000000001</v>
      </c>
      <c r="B203" s="131" t="s">
        <v>278</v>
      </c>
      <c r="C203" s="80" t="s">
        <v>2</v>
      </c>
      <c r="D203" s="81">
        <v>190</v>
      </c>
      <c r="E203" s="130">
        <v>246626</v>
      </c>
      <c r="F203" s="128">
        <f t="shared" si="19"/>
        <v>46858940</v>
      </c>
      <c r="G203" s="130">
        <v>245023</v>
      </c>
      <c r="H203" s="130">
        <f t="shared" ref="H203:H266" si="20">ROUND($D203*G203,0)</f>
        <v>46554370</v>
      </c>
      <c r="I203" s="129" t="str">
        <f t="shared" ref="I203:I266" si="21">+IF(G203&lt;=$E203,"OK","NO OK")</f>
        <v>OK</v>
      </c>
      <c r="J203" s="130">
        <v>245270</v>
      </c>
      <c r="K203" s="130">
        <f t="shared" ref="K203:K266" si="22">ROUND($D203*J203,0)</f>
        <v>46601300</v>
      </c>
      <c r="L203" s="129" t="str">
        <f t="shared" ref="L203:L266" si="23">+IF(J203&lt;=$E203,"OK","NO OK")</f>
        <v>OK</v>
      </c>
    </row>
    <row r="204" spans="1:12" ht="25.5" x14ac:dyDescent="0.25">
      <c r="A204" s="80">
        <v>7.2900000000000098</v>
      </c>
      <c r="B204" s="131" t="s">
        <v>279</v>
      </c>
      <c r="C204" s="80" t="s">
        <v>2</v>
      </c>
      <c r="D204" s="81">
        <v>35</v>
      </c>
      <c r="E204" s="130">
        <v>256246</v>
      </c>
      <c r="F204" s="128">
        <f t="shared" si="19"/>
        <v>8968610</v>
      </c>
      <c r="G204" s="130">
        <v>254580</v>
      </c>
      <c r="H204" s="130">
        <f t="shared" si="20"/>
        <v>8910300</v>
      </c>
      <c r="I204" s="129" t="str">
        <f t="shared" si="21"/>
        <v>OK</v>
      </c>
      <c r="J204" s="130">
        <v>254837</v>
      </c>
      <c r="K204" s="130">
        <f t="shared" si="22"/>
        <v>8919295</v>
      </c>
      <c r="L204" s="129" t="str">
        <f t="shared" si="23"/>
        <v>OK</v>
      </c>
    </row>
    <row r="205" spans="1:12" ht="25.5" x14ac:dyDescent="0.25">
      <c r="A205" s="80">
        <v>7.3000000000000096</v>
      </c>
      <c r="B205" s="131" t="s">
        <v>280</v>
      </c>
      <c r="C205" s="80" t="s">
        <v>2</v>
      </c>
      <c r="D205" s="81">
        <v>18</v>
      </c>
      <c r="E205" s="130">
        <v>274706</v>
      </c>
      <c r="F205" s="128">
        <f t="shared" si="19"/>
        <v>4944708</v>
      </c>
      <c r="G205" s="130">
        <v>272920</v>
      </c>
      <c r="H205" s="130">
        <f t="shared" si="20"/>
        <v>4912560</v>
      </c>
      <c r="I205" s="129" t="str">
        <f t="shared" si="21"/>
        <v>OK</v>
      </c>
      <c r="J205" s="130">
        <v>273195</v>
      </c>
      <c r="K205" s="130">
        <f t="shared" si="22"/>
        <v>4917510</v>
      </c>
      <c r="L205" s="129" t="str">
        <f t="shared" si="23"/>
        <v>OK</v>
      </c>
    </row>
    <row r="206" spans="1:12" ht="25.5" x14ac:dyDescent="0.25">
      <c r="A206" s="80">
        <v>7.3100000000000103</v>
      </c>
      <c r="B206" s="131" t="s">
        <v>281</v>
      </c>
      <c r="C206" s="80" t="s">
        <v>2</v>
      </c>
      <c r="D206" s="81">
        <v>16</v>
      </c>
      <c r="E206" s="130">
        <v>519672</v>
      </c>
      <c r="F206" s="128">
        <f t="shared" si="19"/>
        <v>8314752</v>
      </c>
      <c r="G206" s="130">
        <v>516294</v>
      </c>
      <c r="H206" s="130">
        <f t="shared" si="20"/>
        <v>8260704</v>
      </c>
      <c r="I206" s="129" t="str">
        <f t="shared" si="21"/>
        <v>OK</v>
      </c>
      <c r="J206" s="130">
        <v>516814</v>
      </c>
      <c r="K206" s="130">
        <f t="shared" si="22"/>
        <v>8269024</v>
      </c>
      <c r="L206" s="129" t="str">
        <f t="shared" si="23"/>
        <v>OK</v>
      </c>
    </row>
    <row r="207" spans="1:12" ht="15" x14ac:dyDescent="0.25">
      <c r="A207" s="80">
        <v>7.3200000000000101</v>
      </c>
      <c r="B207" s="131" t="s">
        <v>282</v>
      </c>
      <c r="C207" s="80" t="s">
        <v>2</v>
      </c>
      <c r="D207" s="81">
        <v>16</v>
      </c>
      <c r="E207" s="130">
        <v>352706</v>
      </c>
      <c r="F207" s="128">
        <f t="shared" si="19"/>
        <v>5643296</v>
      </c>
      <c r="G207" s="130">
        <v>350413</v>
      </c>
      <c r="H207" s="130">
        <f t="shared" si="20"/>
        <v>5606608</v>
      </c>
      <c r="I207" s="129" t="str">
        <f t="shared" si="21"/>
        <v>OK</v>
      </c>
      <c r="J207" s="130">
        <v>350766</v>
      </c>
      <c r="K207" s="130">
        <f t="shared" si="22"/>
        <v>5612256</v>
      </c>
      <c r="L207" s="129" t="str">
        <f t="shared" si="23"/>
        <v>OK</v>
      </c>
    </row>
    <row r="208" spans="1:12" ht="15" x14ac:dyDescent="0.25">
      <c r="A208" s="80">
        <v>7.3300000000000196</v>
      </c>
      <c r="B208" s="131" t="s">
        <v>283</v>
      </c>
      <c r="C208" s="80" t="s">
        <v>2</v>
      </c>
      <c r="D208" s="81">
        <v>9</v>
      </c>
      <c r="E208" s="130">
        <v>203207</v>
      </c>
      <c r="F208" s="128">
        <f t="shared" si="19"/>
        <v>1828863</v>
      </c>
      <c r="G208" s="130">
        <v>201886</v>
      </c>
      <c r="H208" s="130">
        <f t="shared" si="20"/>
        <v>1816974</v>
      </c>
      <c r="I208" s="129" t="str">
        <f t="shared" si="21"/>
        <v>OK</v>
      </c>
      <c r="J208" s="130">
        <v>202089</v>
      </c>
      <c r="K208" s="130">
        <f t="shared" si="22"/>
        <v>1818801</v>
      </c>
      <c r="L208" s="129" t="str">
        <f t="shared" si="23"/>
        <v>OK</v>
      </c>
    </row>
    <row r="209" spans="1:12" ht="15" x14ac:dyDescent="0.25">
      <c r="A209" s="80">
        <v>7.3400000000000203</v>
      </c>
      <c r="B209" s="131" t="s">
        <v>284</v>
      </c>
      <c r="C209" s="80" t="s">
        <v>2</v>
      </c>
      <c r="D209" s="81">
        <v>1</v>
      </c>
      <c r="E209" s="130">
        <v>17116519</v>
      </c>
      <c r="F209" s="128">
        <f t="shared" si="19"/>
        <v>17116519</v>
      </c>
      <c r="G209" s="130">
        <v>17005262</v>
      </c>
      <c r="H209" s="130">
        <f t="shared" si="20"/>
        <v>17005262</v>
      </c>
      <c r="I209" s="129" t="str">
        <f t="shared" si="21"/>
        <v>OK</v>
      </c>
      <c r="J209" s="130">
        <v>17022378</v>
      </c>
      <c r="K209" s="130">
        <f t="shared" si="22"/>
        <v>17022378</v>
      </c>
      <c r="L209" s="129" t="str">
        <f t="shared" si="23"/>
        <v>OK</v>
      </c>
    </row>
    <row r="210" spans="1:12" ht="15" x14ac:dyDescent="0.25">
      <c r="A210" s="149">
        <v>7.3500000000000201</v>
      </c>
      <c r="B210" s="150" t="s">
        <v>285</v>
      </c>
      <c r="C210" s="149" t="s">
        <v>2</v>
      </c>
      <c r="D210" s="151">
        <v>1</v>
      </c>
      <c r="E210" s="152">
        <v>1030539</v>
      </c>
      <c r="F210" s="128">
        <f t="shared" si="19"/>
        <v>1030539</v>
      </c>
      <c r="G210" s="130">
        <v>1023840</v>
      </c>
      <c r="H210" s="130">
        <f t="shared" si="20"/>
        <v>1023840</v>
      </c>
      <c r="I210" s="129" t="str">
        <f t="shared" si="21"/>
        <v>OK</v>
      </c>
      <c r="J210" s="130">
        <v>1024871</v>
      </c>
      <c r="K210" s="130">
        <f t="shared" si="22"/>
        <v>1024871</v>
      </c>
      <c r="L210" s="129" t="str">
        <f t="shared" si="23"/>
        <v>OK</v>
      </c>
    </row>
    <row r="211" spans="1:12" ht="15" x14ac:dyDescent="0.25">
      <c r="A211" s="80">
        <v>7.3600000000000199</v>
      </c>
      <c r="B211" s="131" t="s">
        <v>286</v>
      </c>
      <c r="C211" s="80" t="s">
        <v>2</v>
      </c>
      <c r="D211" s="81">
        <v>1</v>
      </c>
      <c r="E211" s="130">
        <v>6444100</v>
      </c>
      <c r="F211" s="128">
        <f t="shared" si="19"/>
        <v>6444100</v>
      </c>
      <c r="G211" s="130">
        <v>6402213</v>
      </c>
      <c r="H211" s="130">
        <f t="shared" si="20"/>
        <v>6402213</v>
      </c>
      <c r="I211" s="129" t="str">
        <f t="shared" si="21"/>
        <v>OK</v>
      </c>
      <c r="J211" s="130">
        <v>6408657</v>
      </c>
      <c r="K211" s="130">
        <f t="shared" si="22"/>
        <v>6408657</v>
      </c>
      <c r="L211" s="129" t="str">
        <f t="shared" si="23"/>
        <v>OK</v>
      </c>
    </row>
    <row r="212" spans="1:12" ht="15" x14ac:dyDescent="0.25">
      <c r="A212" s="80">
        <v>7.3700000000000196</v>
      </c>
      <c r="B212" s="131" t="s">
        <v>287</v>
      </c>
      <c r="C212" s="80" t="s">
        <v>2</v>
      </c>
      <c r="D212" s="81">
        <v>1</v>
      </c>
      <c r="E212" s="130">
        <v>2974569</v>
      </c>
      <c r="F212" s="128">
        <f t="shared" si="19"/>
        <v>2974569</v>
      </c>
      <c r="G212" s="130">
        <v>2955234</v>
      </c>
      <c r="H212" s="130">
        <f t="shared" si="20"/>
        <v>2955234</v>
      </c>
      <c r="I212" s="129" t="str">
        <f t="shared" si="21"/>
        <v>OK</v>
      </c>
      <c r="J212" s="130">
        <v>2958209</v>
      </c>
      <c r="K212" s="130">
        <f t="shared" si="22"/>
        <v>2958209</v>
      </c>
      <c r="L212" s="129" t="str">
        <f t="shared" si="23"/>
        <v>OK</v>
      </c>
    </row>
    <row r="213" spans="1:12" ht="38.25" x14ac:dyDescent="0.25">
      <c r="A213" s="80">
        <v>7.3800000000000203</v>
      </c>
      <c r="B213" s="131" t="s">
        <v>288</v>
      </c>
      <c r="C213" s="80" t="s">
        <v>88</v>
      </c>
      <c r="D213" s="81">
        <v>80</v>
      </c>
      <c r="E213" s="130">
        <v>1112680</v>
      </c>
      <c r="F213" s="128">
        <f t="shared" si="19"/>
        <v>89014400</v>
      </c>
      <c r="G213" s="130">
        <v>1105448</v>
      </c>
      <c r="H213" s="130">
        <f t="shared" si="20"/>
        <v>88435840</v>
      </c>
      <c r="I213" s="129" t="str">
        <f t="shared" si="21"/>
        <v>OK</v>
      </c>
      <c r="J213" s="130">
        <v>1106560</v>
      </c>
      <c r="K213" s="130">
        <f t="shared" si="22"/>
        <v>88524800</v>
      </c>
      <c r="L213" s="129" t="str">
        <f t="shared" si="23"/>
        <v>OK</v>
      </c>
    </row>
    <row r="214" spans="1:12" ht="38.25" x14ac:dyDescent="0.25">
      <c r="A214" s="80">
        <v>7.3900000000000201</v>
      </c>
      <c r="B214" s="131" t="s">
        <v>289</v>
      </c>
      <c r="C214" s="80" t="s">
        <v>2</v>
      </c>
      <c r="D214" s="81">
        <v>1</v>
      </c>
      <c r="E214" s="130">
        <v>8959249</v>
      </c>
      <c r="F214" s="128">
        <f t="shared" si="19"/>
        <v>8959249</v>
      </c>
      <c r="G214" s="130">
        <v>8420062</v>
      </c>
      <c r="H214" s="130">
        <f t="shared" si="20"/>
        <v>8420062</v>
      </c>
      <c r="I214" s="129" t="str">
        <f t="shared" si="21"/>
        <v>OK</v>
      </c>
      <c r="J214" s="130">
        <v>8909973</v>
      </c>
      <c r="K214" s="130">
        <f t="shared" si="22"/>
        <v>8909973</v>
      </c>
      <c r="L214" s="129" t="str">
        <f t="shared" si="23"/>
        <v>OK</v>
      </c>
    </row>
    <row r="215" spans="1:12" ht="25.5" x14ac:dyDescent="0.25">
      <c r="A215" s="80">
        <v>7.4000000000000199</v>
      </c>
      <c r="B215" s="131" t="s">
        <v>290</v>
      </c>
      <c r="C215" s="80" t="s">
        <v>2</v>
      </c>
      <c r="D215" s="81">
        <v>6</v>
      </c>
      <c r="E215" s="130">
        <v>1250000</v>
      </c>
      <c r="F215" s="128">
        <f t="shared" si="19"/>
        <v>7500000</v>
      </c>
      <c r="G215" s="130">
        <v>1241875</v>
      </c>
      <c r="H215" s="130">
        <f t="shared" si="20"/>
        <v>7451250</v>
      </c>
      <c r="I215" s="129" t="str">
        <f t="shared" si="21"/>
        <v>OK</v>
      </c>
      <c r="J215" s="130">
        <v>1243125</v>
      </c>
      <c r="K215" s="130">
        <f t="shared" si="22"/>
        <v>7458750</v>
      </c>
      <c r="L215" s="129" t="str">
        <f t="shared" si="23"/>
        <v>OK</v>
      </c>
    </row>
    <row r="216" spans="1:12" ht="25.5" x14ac:dyDescent="0.25">
      <c r="A216" s="80">
        <v>7.4100000000000197</v>
      </c>
      <c r="B216" s="131" t="s">
        <v>291</v>
      </c>
      <c r="C216" s="80" t="s">
        <v>2</v>
      </c>
      <c r="D216" s="81">
        <v>13</v>
      </c>
      <c r="E216" s="130">
        <v>639166</v>
      </c>
      <c r="F216" s="128">
        <f t="shared" si="19"/>
        <v>8309158</v>
      </c>
      <c r="G216" s="130">
        <v>635011</v>
      </c>
      <c r="H216" s="130">
        <f t="shared" si="20"/>
        <v>8255143</v>
      </c>
      <c r="I216" s="129" t="str">
        <f t="shared" si="21"/>
        <v>OK</v>
      </c>
      <c r="J216" s="130">
        <v>635651</v>
      </c>
      <c r="K216" s="130">
        <f t="shared" si="22"/>
        <v>8263463</v>
      </c>
      <c r="L216" s="129" t="str">
        <f t="shared" si="23"/>
        <v>OK</v>
      </c>
    </row>
    <row r="217" spans="1:12" ht="25.5" x14ac:dyDescent="0.25">
      <c r="A217" s="80">
        <v>7.4200000000000204</v>
      </c>
      <c r="B217" s="131" t="s">
        <v>292</v>
      </c>
      <c r="C217" s="80" t="s">
        <v>2</v>
      </c>
      <c r="D217" s="81">
        <v>13</v>
      </c>
      <c r="E217" s="130">
        <v>3455734</v>
      </c>
      <c r="F217" s="128">
        <f t="shared" si="19"/>
        <v>44924542</v>
      </c>
      <c r="G217" s="130">
        <v>3433272</v>
      </c>
      <c r="H217" s="130">
        <f t="shared" si="20"/>
        <v>44632536</v>
      </c>
      <c r="I217" s="129" t="str">
        <f t="shared" si="21"/>
        <v>OK</v>
      </c>
      <c r="J217" s="130">
        <v>3436727</v>
      </c>
      <c r="K217" s="130">
        <f t="shared" si="22"/>
        <v>44677451</v>
      </c>
      <c r="L217" s="129" t="str">
        <f t="shared" si="23"/>
        <v>OK</v>
      </c>
    </row>
    <row r="218" spans="1:12" ht="15" x14ac:dyDescent="0.25">
      <c r="A218" s="80">
        <v>7.4300000000000201</v>
      </c>
      <c r="B218" s="131" t="s">
        <v>293</v>
      </c>
      <c r="C218" s="80" t="s">
        <v>2</v>
      </c>
      <c r="D218" s="81">
        <v>25</v>
      </c>
      <c r="E218" s="130">
        <v>262045</v>
      </c>
      <c r="F218" s="128">
        <f t="shared" si="19"/>
        <v>6551125</v>
      </c>
      <c r="G218" s="130">
        <v>260342</v>
      </c>
      <c r="H218" s="130">
        <f t="shared" si="20"/>
        <v>6508550</v>
      </c>
      <c r="I218" s="129" t="str">
        <f t="shared" si="21"/>
        <v>OK</v>
      </c>
      <c r="J218" s="130">
        <v>260604</v>
      </c>
      <c r="K218" s="130">
        <f t="shared" si="22"/>
        <v>6515100</v>
      </c>
      <c r="L218" s="129" t="str">
        <f t="shared" si="23"/>
        <v>OK</v>
      </c>
    </row>
    <row r="219" spans="1:12" ht="38.25" x14ac:dyDescent="0.25">
      <c r="A219" s="80">
        <v>7.4400000000000199</v>
      </c>
      <c r="B219" s="131" t="s">
        <v>294</v>
      </c>
      <c r="C219" s="80" t="s">
        <v>88</v>
      </c>
      <c r="D219" s="81">
        <v>600</v>
      </c>
      <c r="E219" s="130">
        <v>52754</v>
      </c>
      <c r="F219" s="128">
        <f t="shared" si="19"/>
        <v>31652400</v>
      </c>
      <c r="G219" s="130">
        <v>52411</v>
      </c>
      <c r="H219" s="130">
        <f t="shared" si="20"/>
        <v>31446600</v>
      </c>
      <c r="I219" s="129" t="str">
        <f t="shared" si="21"/>
        <v>OK</v>
      </c>
      <c r="J219" s="130">
        <v>52464</v>
      </c>
      <c r="K219" s="130">
        <f t="shared" si="22"/>
        <v>31478400</v>
      </c>
      <c r="L219" s="129" t="str">
        <f t="shared" si="23"/>
        <v>OK</v>
      </c>
    </row>
    <row r="220" spans="1:12" ht="15" x14ac:dyDescent="0.25">
      <c r="A220" s="80">
        <v>7.4500000000000197</v>
      </c>
      <c r="B220" s="131" t="s">
        <v>295</v>
      </c>
      <c r="C220" s="80" t="s">
        <v>88</v>
      </c>
      <c r="D220" s="81">
        <v>900</v>
      </c>
      <c r="E220" s="130">
        <v>101747</v>
      </c>
      <c r="F220" s="128">
        <f t="shared" si="19"/>
        <v>91572300</v>
      </c>
      <c r="G220" s="130">
        <v>101086</v>
      </c>
      <c r="H220" s="130">
        <f t="shared" si="20"/>
        <v>90977400</v>
      </c>
      <c r="I220" s="129" t="str">
        <f t="shared" si="21"/>
        <v>OK</v>
      </c>
      <c r="J220" s="130">
        <v>101187</v>
      </c>
      <c r="K220" s="130">
        <f t="shared" si="22"/>
        <v>91068300</v>
      </c>
      <c r="L220" s="129" t="str">
        <f t="shared" si="23"/>
        <v>OK</v>
      </c>
    </row>
    <row r="221" spans="1:12" ht="15" x14ac:dyDescent="0.25">
      <c r="A221" s="80">
        <v>7.4600000000000204</v>
      </c>
      <c r="B221" s="131" t="s">
        <v>296</v>
      </c>
      <c r="C221" s="80" t="s">
        <v>2</v>
      </c>
      <c r="D221" s="81">
        <v>37</v>
      </c>
      <c r="E221" s="130">
        <v>403312</v>
      </c>
      <c r="F221" s="128">
        <f t="shared" si="19"/>
        <v>14922544</v>
      </c>
      <c r="G221" s="130">
        <v>400690</v>
      </c>
      <c r="H221" s="130">
        <f t="shared" si="20"/>
        <v>14825530</v>
      </c>
      <c r="I221" s="129" t="str">
        <f t="shared" si="21"/>
        <v>OK</v>
      </c>
      <c r="J221" s="130">
        <v>401094</v>
      </c>
      <c r="K221" s="130">
        <f t="shared" si="22"/>
        <v>14840478</v>
      </c>
      <c r="L221" s="129" t="str">
        <f t="shared" si="23"/>
        <v>OK</v>
      </c>
    </row>
    <row r="222" spans="1:12" ht="25.5" x14ac:dyDescent="0.25">
      <c r="A222" s="80">
        <v>7.4700000000000202</v>
      </c>
      <c r="B222" s="131" t="s">
        <v>297</v>
      </c>
      <c r="C222" s="80" t="s">
        <v>2</v>
      </c>
      <c r="D222" s="81">
        <v>50</v>
      </c>
      <c r="E222" s="130">
        <v>122806</v>
      </c>
      <c r="F222" s="128">
        <f t="shared" si="19"/>
        <v>6140300</v>
      </c>
      <c r="G222" s="130">
        <v>122008</v>
      </c>
      <c r="H222" s="130">
        <f t="shared" si="20"/>
        <v>6100400</v>
      </c>
      <c r="I222" s="129" t="str">
        <f t="shared" si="21"/>
        <v>OK</v>
      </c>
      <c r="J222" s="130">
        <v>122131</v>
      </c>
      <c r="K222" s="130">
        <f t="shared" si="22"/>
        <v>6106550</v>
      </c>
      <c r="L222" s="129" t="str">
        <f t="shared" si="23"/>
        <v>OK</v>
      </c>
    </row>
    <row r="223" spans="1:12" ht="15" x14ac:dyDescent="0.25">
      <c r="A223" s="80">
        <v>7.48000000000002</v>
      </c>
      <c r="B223" s="131" t="s">
        <v>298</v>
      </c>
      <c r="C223" s="80" t="s">
        <v>88</v>
      </c>
      <c r="D223" s="81">
        <v>130</v>
      </c>
      <c r="E223" s="130">
        <v>72239</v>
      </c>
      <c r="F223" s="128">
        <f t="shared" si="19"/>
        <v>9391070</v>
      </c>
      <c r="G223" s="130">
        <v>71769</v>
      </c>
      <c r="H223" s="130">
        <f t="shared" si="20"/>
        <v>9329970</v>
      </c>
      <c r="I223" s="129" t="str">
        <f t="shared" si="21"/>
        <v>OK</v>
      </c>
      <c r="J223" s="130">
        <v>71842</v>
      </c>
      <c r="K223" s="130">
        <f t="shared" si="22"/>
        <v>9339460</v>
      </c>
      <c r="L223" s="129" t="str">
        <f t="shared" si="23"/>
        <v>OK</v>
      </c>
    </row>
    <row r="224" spans="1:12" ht="15" x14ac:dyDescent="0.25">
      <c r="A224" s="80">
        <v>7.4900000000000198</v>
      </c>
      <c r="B224" s="131" t="s">
        <v>299</v>
      </c>
      <c r="C224" s="80" t="s">
        <v>88</v>
      </c>
      <c r="D224" s="81">
        <v>40</v>
      </c>
      <c r="E224" s="130">
        <v>86573</v>
      </c>
      <c r="F224" s="128">
        <f t="shared" si="19"/>
        <v>3462920</v>
      </c>
      <c r="G224" s="130">
        <v>86010</v>
      </c>
      <c r="H224" s="130">
        <f t="shared" si="20"/>
        <v>3440400</v>
      </c>
      <c r="I224" s="129" t="str">
        <f t="shared" si="21"/>
        <v>OK</v>
      </c>
      <c r="J224" s="130">
        <v>86097</v>
      </c>
      <c r="K224" s="130">
        <f t="shared" si="22"/>
        <v>3443880</v>
      </c>
      <c r="L224" s="129" t="str">
        <f t="shared" si="23"/>
        <v>OK</v>
      </c>
    </row>
    <row r="225" spans="1:12" ht="15" x14ac:dyDescent="0.25">
      <c r="A225" s="80"/>
      <c r="B225" s="131"/>
      <c r="C225" s="80"/>
      <c r="D225" s="81"/>
      <c r="E225" s="130"/>
      <c r="F225" s="128">
        <f t="shared" si="19"/>
        <v>0</v>
      </c>
      <c r="G225" s="130"/>
      <c r="H225" s="130">
        <f t="shared" si="20"/>
        <v>0</v>
      </c>
      <c r="I225" s="129" t="str">
        <f t="shared" si="21"/>
        <v>OK</v>
      </c>
      <c r="J225" s="130"/>
      <c r="K225" s="130">
        <f t="shared" si="22"/>
        <v>0</v>
      </c>
      <c r="L225" s="129" t="str">
        <f t="shared" si="23"/>
        <v>OK</v>
      </c>
    </row>
    <row r="226" spans="1:12" ht="15" x14ac:dyDescent="0.25">
      <c r="A226" s="80"/>
      <c r="B226" s="130" t="s">
        <v>300</v>
      </c>
      <c r="C226" s="80"/>
      <c r="D226" s="81"/>
      <c r="E226" s="130"/>
      <c r="F226" s="128">
        <f t="shared" si="19"/>
        <v>0</v>
      </c>
      <c r="G226" s="130"/>
      <c r="H226" s="130">
        <f t="shared" si="20"/>
        <v>0</v>
      </c>
      <c r="I226" s="129" t="str">
        <f t="shared" si="21"/>
        <v>OK</v>
      </c>
      <c r="J226" s="130"/>
      <c r="K226" s="130">
        <f t="shared" si="22"/>
        <v>0</v>
      </c>
      <c r="L226" s="129" t="str">
        <f t="shared" si="23"/>
        <v>OK</v>
      </c>
    </row>
    <row r="227" spans="1:12" ht="15" x14ac:dyDescent="0.25">
      <c r="A227" s="80"/>
      <c r="B227" s="131"/>
      <c r="C227" s="80"/>
      <c r="D227" s="81"/>
      <c r="E227" s="130"/>
      <c r="F227" s="128">
        <f t="shared" si="19"/>
        <v>0</v>
      </c>
      <c r="G227" s="130"/>
      <c r="H227" s="130">
        <f t="shared" si="20"/>
        <v>0</v>
      </c>
      <c r="I227" s="129" t="str">
        <f t="shared" si="21"/>
        <v>OK</v>
      </c>
      <c r="J227" s="130"/>
      <c r="K227" s="130">
        <f t="shared" si="22"/>
        <v>0</v>
      </c>
      <c r="L227" s="129" t="str">
        <f t="shared" si="23"/>
        <v>OK</v>
      </c>
    </row>
    <row r="228" spans="1:12" ht="15" x14ac:dyDescent="0.25">
      <c r="A228" s="80">
        <v>8</v>
      </c>
      <c r="B228" s="131" t="s">
        <v>301</v>
      </c>
      <c r="C228" s="80"/>
      <c r="D228" s="81"/>
      <c r="E228" s="130"/>
      <c r="F228" s="128">
        <f t="shared" si="19"/>
        <v>0</v>
      </c>
      <c r="G228" s="130"/>
      <c r="H228" s="130">
        <f t="shared" si="20"/>
        <v>0</v>
      </c>
      <c r="I228" s="129" t="str">
        <f t="shared" si="21"/>
        <v>OK</v>
      </c>
      <c r="J228" s="130"/>
      <c r="K228" s="130">
        <f t="shared" si="22"/>
        <v>0</v>
      </c>
      <c r="L228" s="129" t="str">
        <f t="shared" si="23"/>
        <v>OK</v>
      </c>
    </row>
    <row r="229" spans="1:12" ht="15" x14ac:dyDescent="0.25">
      <c r="A229" s="80">
        <v>8.1</v>
      </c>
      <c r="B229" s="131" t="s">
        <v>302</v>
      </c>
      <c r="C229" s="80" t="s">
        <v>7</v>
      </c>
      <c r="D229" s="81">
        <v>742.79</v>
      </c>
      <c r="E229" s="130">
        <v>75169</v>
      </c>
      <c r="F229" s="128">
        <f t="shared" si="19"/>
        <v>55834782</v>
      </c>
      <c r="G229" s="130">
        <v>74680</v>
      </c>
      <c r="H229" s="130">
        <f t="shared" si="20"/>
        <v>55471557</v>
      </c>
      <c r="I229" s="129" t="str">
        <f t="shared" si="21"/>
        <v>OK</v>
      </c>
      <c r="J229" s="130">
        <v>74756</v>
      </c>
      <c r="K229" s="130">
        <f t="shared" si="22"/>
        <v>55528009</v>
      </c>
      <c r="L229" s="129" t="str">
        <f t="shared" si="23"/>
        <v>OK</v>
      </c>
    </row>
    <row r="230" spans="1:12" ht="15" x14ac:dyDescent="0.25">
      <c r="A230" s="80" t="s">
        <v>303</v>
      </c>
      <c r="B230" s="131" t="s">
        <v>304</v>
      </c>
      <c r="C230" s="80" t="s">
        <v>7</v>
      </c>
      <c r="D230" s="81">
        <v>5394.76</v>
      </c>
      <c r="E230" s="130">
        <v>72333</v>
      </c>
      <c r="F230" s="128">
        <f t="shared" si="19"/>
        <v>390219175</v>
      </c>
      <c r="G230" s="130">
        <v>71610</v>
      </c>
      <c r="H230" s="130">
        <f t="shared" si="20"/>
        <v>386318764</v>
      </c>
      <c r="I230" s="129" t="str">
        <f t="shared" si="21"/>
        <v>OK</v>
      </c>
      <c r="J230" s="130">
        <v>71935</v>
      </c>
      <c r="K230" s="130">
        <f t="shared" si="22"/>
        <v>388072061</v>
      </c>
      <c r="L230" s="129" t="str">
        <f t="shared" si="23"/>
        <v>OK</v>
      </c>
    </row>
    <row r="231" spans="1:12" ht="15" x14ac:dyDescent="0.25">
      <c r="A231" s="80" t="s">
        <v>305</v>
      </c>
      <c r="B231" s="131" t="s">
        <v>306</v>
      </c>
      <c r="C231" s="80" t="s">
        <v>88</v>
      </c>
      <c r="D231" s="81">
        <v>9796</v>
      </c>
      <c r="E231" s="130">
        <v>2747</v>
      </c>
      <c r="F231" s="128">
        <f t="shared" si="19"/>
        <v>26909612</v>
      </c>
      <c r="G231" s="130">
        <v>2729</v>
      </c>
      <c r="H231" s="130">
        <f t="shared" si="20"/>
        <v>26733284</v>
      </c>
      <c r="I231" s="129" t="str">
        <f t="shared" si="21"/>
        <v>OK</v>
      </c>
      <c r="J231" s="130">
        <v>2732</v>
      </c>
      <c r="K231" s="130">
        <f t="shared" si="22"/>
        <v>26762672</v>
      </c>
      <c r="L231" s="129" t="str">
        <f t="shared" si="23"/>
        <v>OK</v>
      </c>
    </row>
    <row r="232" spans="1:12" ht="15" x14ac:dyDescent="0.25">
      <c r="A232" s="80" t="s">
        <v>307</v>
      </c>
      <c r="B232" s="131" t="s">
        <v>308</v>
      </c>
      <c r="C232" s="80" t="s">
        <v>123</v>
      </c>
      <c r="D232" s="81">
        <v>560</v>
      </c>
      <c r="E232" s="130">
        <v>4172</v>
      </c>
      <c r="F232" s="128">
        <f t="shared" si="19"/>
        <v>2336320</v>
      </c>
      <c r="G232" s="130">
        <v>4145</v>
      </c>
      <c r="H232" s="130">
        <f t="shared" si="20"/>
        <v>2321200</v>
      </c>
      <c r="I232" s="129" t="str">
        <f t="shared" si="21"/>
        <v>OK</v>
      </c>
      <c r="J232" s="130">
        <v>4149</v>
      </c>
      <c r="K232" s="130">
        <f t="shared" si="22"/>
        <v>2323440</v>
      </c>
      <c r="L232" s="129" t="str">
        <f t="shared" si="23"/>
        <v>OK</v>
      </c>
    </row>
    <row r="233" spans="1:12" ht="15" x14ac:dyDescent="0.25">
      <c r="A233" s="80" t="s">
        <v>309</v>
      </c>
      <c r="B233" s="131" t="s">
        <v>310</v>
      </c>
      <c r="C233" s="80" t="s">
        <v>7</v>
      </c>
      <c r="D233" s="81">
        <v>1911</v>
      </c>
      <c r="E233" s="130">
        <v>74185</v>
      </c>
      <c r="F233" s="128">
        <f t="shared" si="19"/>
        <v>141767535</v>
      </c>
      <c r="G233" s="130">
        <v>73703</v>
      </c>
      <c r="H233" s="130">
        <f t="shared" si="20"/>
        <v>140846433</v>
      </c>
      <c r="I233" s="129" t="str">
        <f t="shared" si="21"/>
        <v>OK</v>
      </c>
      <c r="J233" s="130">
        <v>73777</v>
      </c>
      <c r="K233" s="130">
        <f t="shared" si="22"/>
        <v>140987847</v>
      </c>
      <c r="L233" s="129" t="str">
        <f t="shared" si="23"/>
        <v>OK</v>
      </c>
    </row>
    <row r="234" spans="1:12" ht="15" x14ac:dyDescent="0.25">
      <c r="A234" s="80"/>
      <c r="B234" s="131"/>
      <c r="C234" s="80"/>
      <c r="D234" s="81"/>
      <c r="E234" s="130"/>
      <c r="F234" s="128">
        <f t="shared" si="19"/>
        <v>0</v>
      </c>
      <c r="G234" s="130"/>
      <c r="H234" s="130">
        <f t="shared" si="20"/>
        <v>0</v>
      </c>
      <c r="I234" s="129" t="str">
        <f t="shared" si="21"/>
        <v>OK</v>
      </c>
      <c r="J234" s="130"/>
      <c r="K234" s="130">
        <f t="shared" si="22"/>
        <v>0</v>
      </c>
      <c r="L234" s="129" t="str">
        <f t="shared" si="23"/>
        <v>OK</v>
      </c>
    </row>
    <row r="235" spans="1:12" ht="15" x14ac:dyDescent="0.25">
      <c r="A235" s="80"/>
      <c r="B235" s="130" t="s">
        <v>311</v>
      </c>
      <c r="C235" s="80"/>
      <c r="D235" s="81"/>
      <c r="E235" s="130"/>
      <c r="F235" s="128">
        <f t="shared" si="19"/>
        <v>0</v>
      </c>
      <c r="G235" s="130"/>
      <c r="H235" s="130">
        <f t="shared" si="20"/>
        <v>0</v>
      </c>
      <c r="I235" s="129" t="str">
        <f t="shared" si="21"/>
        <v>OK</v>
      </c>
      <c r="J235" s="130"/>
      <c r="K235" s="130">
        <f t="shared" si="22"/>
        <v>0</v>
      </c>
      <c r="L235" s="129" t="str">
        <f t="shared" si="23"/>
        <v>OK</v>
      </c>
    </row>
    <row r="236" spans="1:12" ht="15" x14ac:dyDescent="0.25">
      <c r="A236" s="80"/>
      <c r="B236" s="131"/>
      <c r="C236" s="80"/>
      <c r="D236" s="81"/>
      <c r="E236" s="130"/>
      <c r="F236" s="128">
        <f t="shared" si="19"/>
        <v>0</v>
      </c>
      <c r="G236" s="130"/>
      <c r="H236" s="130">
        <f t="shared" si="20"/>
        <v>0</v>
      </c>
      <c r="I236" s="129" t="str">
        <f t="shared" si="21"/>
        <v>OK</v>
      </c>
      <c r="J236" s="130"/>
      <c r="K236" s="130">
        <f t="shared" si="22"/>
        <v>0</v>
      </c>
      <c r="L236" s="129" t="str">
        <f t="shared" si="23"/>
        <v>OK</v>
      </c>
    </row>
    <row r="237" spans="1:12" ht="15" x14ac:dyDescent="0.25">
      <c r="A237" s="80">
        <v>9</v>
      </c>
      <c r="B237" s="131" t="s">
        <v>312</v>
      </c>
      <c r="C237" s="80"/>
      <c r="D237" s="81"/>
      <c r="E237" s="130"/>
      <c r="F237" s="128">
        <f t="shared" si="19"/>
        <v>0</v>
      </c>
      <c r="G237" s="130"/>
      <c r="H237" s="130">
        <f t="shared" si="20"/>
        <v>0</v>
      </c>
      <c r="I237" s="129" t="str">
        <f t="shared" si="21"/>
        <v>OK</v>
      </c>
      <c r="J237" s="130"/>
      <c r="K237" s="130">
        <f t="shared" si="22"/>
        <v>0</v>
      </c>
      <c r="L237" s="129" t="str">
        <f t="shared" si="23"/>
        <v>OK</v>
      </c>
    </row>
    <row r="238" spans="1:12" ht="15" x14ac:dyDescent="0.25">
      <c r="A238" s="80">
        <v>9.1</v>
      </c>
      <c r="B238" s="131" t="s">
        <v>313</v>
      </c>
      <c r="C238" s="80" t="s">
        <v>7</v>
      </c>
      <c r="D238" s="81">
        <v>2486</v>
      </c>
      <c r="E238" s="130">
        <v>23481</v>
      </c>
      <c r="F238" s="128">
        <f t="shared" si="19"/>
        <v>58373766</v>
      </c>
      <c r="G238" s="130">
        <v>23328</v>
      </c>
      <c r="H238" s="130">
        <f t="shared" si="20"/>
        <v>57993408</v>
      </c>
      <c r="I238" s="129" t="str">
        <f t="shared" si="21"/>
        <v>OK</v>
      </c>
      <c r="J238" s="130">
        <v>23352</v>
      </c>
      <c r="K238" s="130">
        <f t="shared" si="22"/>
        <v>58053072</v>
      </c>
      <c r="L238" s="129" t="str">
        <f t="shared" si="23"/>
        <v>OK</v>
      </c>
    </row>
    <row r="239" spans="1:12" ht="15" x14ac:dyDescent="0.25">
      <c r="A239" s="80">
        <v>9.1999999999999993</v>
      </c>
      <c r="B239" s="131" t="s">
        <v>314</v>
      </c>
      <c r="C239" s="80" t="s">
        <v>7</v>
      </c>
      <c r="D239" s="81">
        <v>2486</v>
      </c>
      <c r="E239" s="130">
        <v>9907</v>
      </c>
      <c r="F239" s="128">
        <f t="shared" si="19"/>
        <v>24628802</v>
      </c>
      <c r="G239" s="130">
        <v>9843</v>
      </c>
      <c r="H239" s="130">
        <f t="shared" si="20"/>
        <v>24469698</v>
      </c>
      <c r="I239" s="129" t="str">
        <f t="shared" si="21"/>
        <v>OK</v>
      </c>
      <c r="J239" s="130">
        <v>9853</v>
      </c>
      <c r="K239" s="130">
        <f t="shared" si="22"/>
        <v>24494558</v>
      </c>
      <c r="L239" s="129" t="str">
        <f t="shared" si="23"/>
        <v>OK</v>
      </c>
    </row>
    <row r="240" spans="1:12" ht="15" x14ac:dyDescent="0.25">
      <c r="A240" s="80">
        <v>9.3000000000000007</v>
      </c>
      <c r="B240" s="131" t="s">
        <v>315</v>
      </c>
      <c r="C240" s="80" t="s">
        <v>7</v>
      </c>
      <c r="D240" s="81">
        <v>1598.4</v>
      </c>
      <c r="E240" s="130">
        <v>84022</v>
      </c>
      <c r="F240" s="128">
        <f t="shared" si="19"/>
        <v>134300765</v>
      </c>
      <c r="G240" s="130">
        <v>83476</v>
      </c>
      <c r="H240" s="130">
        <f t="shared" si="20"/>
        <v>133428038</v>
      </c>
      <c r="I240" s="129" t="str">
        <f t="shared" si="21"/>
        <v>OK</v>
      </c>
      <c r="J240" s="130">
        <v>83560</v>
      </c>
      <c r="K240" s="130">
        <f t="shared" si="22"/>
        <v>133562304</v>
      </c>
      <c r="L240" s="129" t="str">
        <f t="shared" si="23"/>
        <v>OK</v>
      </c>
    </row>
    <row r="241" spans="1:12" ht="15" x14ac:dyDescent="0.25">
      <c r="A241" s="80">
        <v>9.4</v>
      </c>
      <c r="B241" s="131" t="s">
        <v>316</v>
      </c>
      <c r="C241" s="80" t="s">
        <v>7</v>
      </c>
      <c r="D241" s="81">
        <v>849.49</v>
      </c>
      <c r="E241" s="130">
        <v>86071</v>
      </c>
      <c r="F241" s="128">
        <f t="shared" si="19"/>
        <v>73116454</v>
      </c>
      <c r="G241" s="130">
        <v>85512</v>
      </c>
      <c r="H241" s="130">
        <f t="shared" si="20"/>
        <v>72641589</v>
      </c>
      <c r="I241" s="129" t="str">
        <f t="shared" si="21"/>
        <v>OK</v>
      </c>
      <c r="J241" s="130">
        <v>85598</v>
      </c>
      <c r="K241" s="130">
        <f t="shared" si="22"/>
        <v>72714645</v>
      </c>
      <c r="L241" s="129" t="str">
        <f t="shared" si="23"/>
        <v>OK</v>
      </c>
    </row>
    <row r="242" spans="1:12" ht="15" x14ac:dyDescent="0.25">
      <c r="A242" s="80">
        <v>9.5</v>
      </c>
      <c r="B242" s="131" t="s">
        <v>317</v>
      </c>
      <c r="C242" s="80" t="s">
        <v>7</v>
      </c>
      <c r="D242" s="81">
        <v>1288.8</v>
      </c>
      <c r="E242" s="130">
        <v>64443</v>
      </c>
      <c r="F242" s="128">
        <f t="shared" si="19"/>
        <v>83054138</v>
      </c>
      <c r="G242" s="130">
        <v>64024</v>
      </c>
      <c r="H242" s="130">
        <f t="shared" si="20"/>
        <v>82514131</v>
      </c>
      <c r="I242" s="129" t="str">
        <f t="shared" si="21"/>
        <v>OK</v>
      </c>
      <c r="J242" s="130">
        <v>64089</v>
      </c>
      <c r="K242" s="130">
        <f t="shared" si="22"/>
        <v>82597903</v>
      </c>
      <c r="L242" s="129" t="str">
        <f t="shared" si="23"/>
        <v>OK</v>
      </c>
    </row>
    <row r="243" spans="1:12" ht="15" x14ac:dyDescent="0.25">
      <c r="A243" s="80">
        <v>9.6</v>
      </c>
      <c r="B243" s="131" t="s">
        <v>318</v>
      </c>
      <c r="C243" s="80" t="s">
        <v>7</v>
      </c>
      <c r="D243" s="81">
        <v>77.03</v>
      </c>
      <c r="E243" s="130">
        <v>94060</v>
      </c>
      <c r="F243" s="128">
        <f t="shared" si="19"/>
        <v>7245442</v>
      </c>
      <c r="G243" s="130">
        <v>93449</v>
      </c>
      <c r="H243" s="130">
        <f t="shared" si="20"/>
        <v>7198376</v>
      </c>
      <c r="I243" s="129" t="str">
        <f t="shared" si="21"/>
        <v>OK</v>
      </c>
      <c r="J243" s="130">
        <v>93543</v>
      </c>
      <c r="K243" s="130">
        <f t="shared" si="22"/>
        <v>7205617</v>
      </c>
      <c r="L243" s="129" t="str">
        <f t="shared" si="23"/>
        <v>OK</v>
      </c>
    </row>
    <row r="244" spans="1:12" ht="15" x14ac:dyDescent="0.25">
      <c r="A244" s="80">
        <v>9.6999999999999993</v>
      </c>
      <c r="B244" s="131" t="s">
        <v>319</v>
      </c>
      <c r="C244" s="80" t="s">
        <v>88</v>
      </c>
      <c r="D244" s="81">
        <v>19</v>
      </c>
      <c r="E244" s="130">
        <v>57173</v>
      </c>
      <c r="F244" s="128">
        <f t="shared" si="19"/>
        <v>1086287</v>
      </c>
      <c r="G244" s="130">
        <v>56801</v>
      </c>
      <c r="H244" s="130">
        <f t="shared" si="20"/>
        <v>1079219</v>
      </c>
      <c r="I244" s="129" t="str">
        <f t="shared" si="21"/>
        <v>OK</v>
      </c>
      <c r="J244" s="130">
        <v>56859</v>
      </c>
      <c r="K244" s="130">
        <f t="shared" si="22"/>
        <v>1080321</v>
      </c>
      <c r="L244" s="129" t="str">
        <f t="shared" si="23"/>
        <v>OK</v>
      </c>
    </row>
    <row r="245" spans="1:12" ht="15" x14ac:dyDescent="0.25">
      <c r="A245" s="80">
        <v>9.8000000000000007</v>
      </c>
      <c r="B245" s="131" t="s">
        <v>320</v>
      </c>
      <c r="C245" s="80" t="s">
        <v>88</v>
      </c>
      <c r="D245" s="81">
        <v>2151.4299999999998</v>
      </c>
      <c r="E245" s="130">
        <v>19553</v>
      </c>
      <c r="F245" s="128">
        <f t="shared" si="19"/>
        <v>42066911</v>
      </c>
      <c r="G245" s="130">
        <v>19426</v>
      </c>
      <c r="H245" s="130">
        <f t="shared" si="20"/>
        <v>41793679</v>
      </c>
      <c r="I245" s="129" t="str">
        <f t="shared" si="21"/>
        <v>OK</v>
      </c>
      <c r="J245" s="130">
        <v>19445</v>
      </c>
      <c r="K245" s="130">
        <f t="shared" si="22"/>
        <v>41834556</v>
      </c>
      <c r="L245" s="129" t="str">
        <f t="shared" si="23"/>
        <v>OK</v>
      </c>
    </row>
    <row r="246" spans="1:12" ht="15" x14ac:dyDescent="0.25">
      <c r="A246" s="80">
        <v>9.9</v>
      </c>
      <c r="B246" s="131" t="s">
        <v>321</v>
      </c>
      <c r="C246" s="80" t="s">
        <v>7</v>
      </c>
      <c r="D246" s="81">
        <v>2282.21</v>
      </c>
      <c r="E246" s="130">
        <v>52200</v>
      </c>
      <c r="F246" s="128">
        <f t="shared" si="19"/>
        <v>119131362</v>
      </c>
      <c r="G246" s="130">
        <v>51861</v>
      </c>
      <c r="H246" s="130">
        <f t="shared" si="20"/>
        <v>118357693</v>
      </c>
      <c r="I246" s="129" t="str">
        <f t="shared" si="21"/>
        <v>OK</v>
      </c>
      <c r="J246" s="130">
        <v>51913</v>
      </c>
      <c r="K246" s="130">
        <f t="shared" si="22"/>
        <v>118476368</v>
      </c>
      <c r="L246" s="129" t="str">
        <f t="shared" si="23"/>
        <v>OK</v>
      </c>
    </row>
    <row r="247" spans="1:12" ht="15" x14ac:dyDescent="0.25">
      <c r="A247" s="80">
        <v>9.1</v>
      </c>
      <c r="B247" s="131" t="s">
        <v>322</v>
      </c>
      <c r="C247" s="80" t="s">
        <v>7</v>
      </c>
      <c r="D247" s="81">
        <v>5394.76</v>
      </c>
      <c r="E247" s="130">
        <v>16013</v>
      </c>
      <c r="F247" s="128">
        <f t="shared" si="19"/>
        <v>86386292</v>
      </c>
      <c r="G247" s="130">
        <v>15909</v>
      </c>
      <c r="H247" s="130">
        <f t="shared" si="20"/>
        <v>85825237</v>
      </c>
      <c r="I247" s="129" t="str">
        <f t="shared" si="21"/>
        <v>OK</v>
      </c>
      <c r="J247" s="130">
        <v>15925</v>
      </c>
      <c r="K247" s="130">
        <f t="shared" si="22"/>
        <v>85911553</v>
      </c>
      <c r="L247" s="129" t="str">
        <f t="shared" si="23"/>
        <v>OK</v>
      </c>
    </row>
    <row r="248" spans="1:12" ht="15" x14ac:dyDescent="0.25">
      <c r="A248" s="80">
        <v>9.11</v>
      </c>
      <c r="B248" s="131" t="s">
        <v>323</v>
      </c>
      <c r="C248" s="80" t="s">
        <v>7</v>
      </c>
      <c r="D248" s="81">
        <v>7.2</v>
      </c>
      <c r="E248" s="130">
        <v>261412</v>
      </c>
      <c r="F248" s="128">
        <f t="shared" si="19"/>
        <v>1882166</v>
      </c>
      <c r="G248" s="130">
        <v>259713</v>
      </c>
      <c r="H248" s="130">
        <f t="shared" si="20"/>
        <v>1869934</v>
      </c>
      <c r="I248" s="129" t="str">
        <f t="shared" si="21"/>
        <v>OK</v>
      </c>
      <c r="J248" s="130">
        <v>259974</v>
      </c>
      <c r="K248" s="130">
        <f t="shared" si="22"/>
        <v>1871813</v>
      </c>
      <c r="L248" s="129" t="str">
        <f t="shared" si="23"/>
        <v>OK</v>
      </c>
    </row>
    <row r="249" spans="1:12" ht="15" x14ac:dyDescent="0.25">
      <c r="A249" s="80">
        <v>9.1199999999999992</v>
      </c>
      <c r="B249" s="131" t="s">
        <v>324</v>
      </c>
      <c r="C249" s="80" t="s">
        <v>7</v>
      </c>
      <c r="D249" s="81">
        <v>663.5</v>
      </c>
      <c r="E249" s="130">
        <v>466314</v>
      </c>
      <c r="F249" s="128">
        <f t="shared" si="19"/>
        <v>309399339</v>
      </c>
      <c r="G249" s="130">
        <v>463283</v>
      </c>
      <c r="H249" s="130">
        <f t="shared" si="20"/>
        <v>307388271</v>
      </c>
      <c r="I249" s="129" t="str">
        <f t="shared" si="21"/>
        <v>OK</v>
      </c>
      <c r="J249" s="130">
        <v>463749</v>
      </c>
      <c r="K249" s="130">
        <f t="shared" si="22"/>
        <v>307697462</v>
      </c>
      <c r="L249" s="129" t="str">
        <f t="shared" si="23"/>
        <v>OK</v>
      </c>
    </row>
    <row r="250" spans="1:12" ht="15" x14ac:dyDescent="0.25">
      <c r="A250" s="80">
        <v>9.1300000000000008</v>
      </c>
      <c r="B250" s="131" t="s">
        <v>325</v>
      </c>
      <c r="C250" s="80" t="s">
        <v>7</v>
      </c>
      <c r="D250" s="81">
        <v>509.3</v>
      </c>
      <c r="E250" s="130">
        <v>310669</v>
      </c>
      <c r="F250" s="128">
        <f t="shared" si="19"/>
        <v>158223722</v>
      </c>
      <c r="G250" s="130">
        <v>308650</v>
      </c>
      <c r="H250" s="130">
        <f t="shared" si="20"/>
        <v>157195445</v>
      </c>
      <c r="I250" s="129" t="str">
        <f t="shared" si="21"/>
        <v>OK</v>
      </c>
      <c r="J250" s="130">
        <v>308960</v>
      </c>
      <c r="K250" s="130">
        <f t="shared" si="22"/>
        <v>157353328</v>
      </c>
      <c r="L250" s="129" t="str">
        <f t="shared" si="23"/>
        <v>OK</v>
      </c>
    </row>
    <row r="251" spans="1:12" ht="15" x14ac:dyDescent="0.25">
      <c r="A251" s="80">
        <v>9.14</v>
      </c>
      <c r="B251" s="131" t="s">
        <v>326</v>
      </c>
      <c r="C251" s="80" t="s">
        <v>7</v>
      </c>
      <c r="D251" s="81">
        <v>56.28</v>
      </c>
      <c r="E251" s="130">
        <v>380719</v>
      </c>
      <c r="F251" s="128">
        <f t="shared" si="19"/>
        <v>21426865</v>
      </c>
      <c r="G251" s="130">
        <v>378244</v>
      </c>
      <c r="H251" s="130">
        <f t="shared" si="20"/>
        <v>21287572</v>
      </c>
      <c r="I251" s="129" t="str">
        <f t="shared" si="21"/>
        <v>OK</v>
      </c>
      <c r="J251" s="130">
        <v>378625</v>
      </c>
      <c r="K251" s="130">
        <f t="shared" si="22"/>
        <v>21309015</v>
      </c>
      <c r="L251" s="129" t="str">
        <f t="shared" si="23"/>
        <v>OK</v>
      </c>
    </row>
    <row r="252" spans="1:12" ht="38.25" x14ac:dyDescent="0.25">
      <c r="A252" s="80">
        <v>9.15</v>
      </c>
      <c r="B252" s="131" t="s">
        <v>327</v>
      </c>
      <c r="C252" s="80" t="s">
        <v>7</v>
      </c>
      <c r="D252" s="81">
        <v>122.12</v>
      </c>
      <c r="E252" s="130">
        <v>695030</v>
      </c>
      <c r="F252" s="128">
        <f t="shared" si="19"/>
        <v>84877064</v>
      </c>
      <c r="G252" s="130">
        <v>688080</v>
      </c>
      <c r="H252" s="130">
        <f t="shared" si="20"/>
        <v>84028330</v>
      </c>
      <c r="I252" s="129" t="str">
        <f t="shared" si="21"/>
        <v>OK</v>
      </c>
      <c r="J252" s="130">
        <v>691207</v>
      </c>
      <c r="K252" s="130">
        <f t="shared" si="22"/>
        <v>84410199</v>
      </c>
      <c r="L252" s="129" t="str">
        <f t="shared" si="23"/>
        <v>OK</v>
      </c>
    </row>
    <row r="253" spans="1:12" ht="38.25" x14ac:dyDescent="0.25">
      <c r="A253" s="80">
        <v>9.16</v>
      </c>
      <c r="B253" s="131" t="s">
        <v>328</v>
      </c>
      <c r="C253" s="80" t="s">
        <v>88</v>
      </c>
      <c r="D253" s="81">
        <v>237.96</v>
      </c>
      <c r="E253" s="130">
        <v>91546</v>
      </c>
      <c r="F253" s="128">
        <f t="shared" si="19"/>
        <v>21784286</v>
      </c>
      <c r="G253" s="130">
        <v>90951</v>
      </c>
      <c r="H253" s="130">
        <f t="shared" si="20"/>
        <v>21642700</v>
      </c>
      <c r="I253" s="129" t="str">
        <f t="shared" si="21"/>
        <v>OK</v>
      </c>
      <c r="J253" s="130">
        <v>91042</v>
      </c>
      <c r="K253" s="130">
        <f t="shared" si="22"/>
        <v>21664354</v>
      </c>
      <c r="L253" s="129" t="str">
        <f t="shared" si="23"/>
        <v>OK</v>
      </c>
    </row>
    <row r="254" spans="1:12" ht="15" x14ac:dyDescent="0.25">
      <c r="A254" s="80"/>
      <c r="B254" s="131"/>
      <c r="C254" s="80"/>
      <c r="D254" s="81"/>
      <c r="E254" s="130"/>
      <c r="F254" s="128">
        <f t="shared" si="19"/>
        <v>0</v>
      </c>
      <c r="G254" s="130"/>
      <c r="H254" s="130">
        <f t="shared" si="20"/>
        <v>0</v>
      </c>
      <c r="I254" s="129" t="str">
        <f t="shared" si="21"/>
        <v>OK</v>
      </c>
      <c r="J254" s="130"/>
      <c r="K254" s="130">
        <f t="shared" si="22"/>
        <v>0</v>
      </c>
      <c r="L254" s="129" t="str">
        <f t="shared" si="23"/>
        <v>OK</v>
      </c>
    </row>
    <row r="255" spans="1:12" ht="15" x14ac:dyDescent="0.25">
      <c r="A255" s="80"/>
      <c r="B255" s="130" t="s">
        <v>329</v>
      </c>
      <c r="C255" s="80"/>
      <c r="D255" s="81"/>
      <c r="E255" s="130"/>
      <c r="F255" s="128">
        <f t="shared" si="19"/>
        <v>0</v>
      </c>
      <c r="G255" s="130"/>
      <c r="H255" s="130">
        <f t="shared" si="20"/>
        <v>0</v>
      </c>
      <c r="I255" s="129" t="str">
        <f t="shared" si="21"/>
        <v>OK</v>
      </c>
      <c r="J255" s="130"/>
      <c r="K255" s="130">
        <f t="shared" si="22"/>
        <v>0</v>
      </c>
      <c r="L255" s="129" t="str">
        <f t="shared" si="23"/>
        <v>OK</v>
      </c>
    </row>
    <row r="256" spans="1:12" ht="15" x14ac:dyDescent="0.25">
      <c r="A256" s="80"/>
      <c r="B256" s="131"/>
      <c r="C256" s="80"/>
      <c r="D256" s="81"/>
      <c r="E256" s="130"/>
      <c r="F256" s="128">
        <f t="shared" si="19"/>
        <v>0</v>
      </c>
      <c r="G256" s="130"/>
      <c r="H256" s="130">
        <f t="shared" si="20"/>
        <v>0</v>
      </c>
      <c r="I256" s="129" t="str">
        <f t="shared" si="21"/>
        <v>OK</v>
      </c>
      <c r="J256" s="130"/>
      <c r="K256" s="130">
        <f t="shared" si="22"/>
        <v>0</v>
      </c>
      <c r="L256" s="129" t="str">
        <f t="shared" si="23"/>
        <v>OK</v>
      </c>
    </row>
    <row r="257" spans="1:12" ht="15" x14ac:dyDescent="0.25">
      <c r="A257" s="80">
        <v>10</v>
      </c>
      <c r="B257" s="131" t="s">
        <v>330</v>
      </c>
      <c r="C257" s="80"/>
      <c r="D257" s="81"/>
      <c r="E257" s="130"/>
      <c r="F257" s="128">
        <f t="shared" si="19"/>
        <v>0</v>
      </c>
      <c r="G257" s="130"/>
      <c r="H257" s="130">
        <f t="shared" si="20"/>
        <v>0</v>
      </c>
      <c r="I257" s="129" t="str">
        <f t="shared" si="21"/>
        <v>OK</v>
      </c>
      <c r="J257" s="130"/>
      <c r="K257" s="130">
        <f t="shared" si="22"/>
        <v>0</v>
      </c>
      <c r="L257" s="129" t="str">
        <f t="shared" si="23"/>
        <v>OK</v>
      </c>
    </row>
    <row r="258" spans="1:12" ht="15" x14ac:dyDescent="0.25">
      <c r="A258" s="80">
        <v>10.1</v>
      </c>
      <c r="B258" s="131" t="s">
        <v>331</v>
      </c>
      <c r="C258" s="80" t="s">
        <v>2</v>
      </c>
      <c r="D258" s="81">
        <v>95</v>
      </c>
      <c r="E258" s="130">
        <v>565687</v>
      </c>
      <c r="F258" s="128">
        <f t="shared" si="19"/>
        <v>53740265</v>
      </c>
      <c r="G258" s="130">
        <v>562010</v>
      </c>
      <c r="H258" s="130">
        <f t="shared" si="20"/>
        <v>53390950</v>
      </c>
      <c r="I258" s="129" t="str">
        <f t="shared" si="21"/>
        <v>OK</v>
      </c>
      <c r="J258" s="130">
        <v>562576</v>
      </c>
      <c r="K258" s="130">
        <f t="shared" si="22"/>
        <v>53444720</v>
      </c>
      <c r="L258" s="129" t="str">
        <f t="shared" si="23"/>
        <v>OK</v>
      </c>
    </row>
    <row r="259" spans="1:12" ht="15" x14ac:dyDescent="0.25">
      <c r="A259" s="80">
        <v>10.199999999999999</v>
      </c>
      <c r="B259" s="131" t="s">
        <v>332</v>
      </c>
      <c r="C259" s="80" t="s">
        <v>2</v>
      </c>
      <c r="D259" s="81">
        <v>4</v>
      </c>
      <c r="E259" s="130">
        <v>734687</v>
      </c>
      <c r="F259" s="128">
        <f t="shared" si="19"/>
        <v>2938748</v>
      </c>
      <c r="G259" s="130">
        <v>729912</v>
      </c>
      <c r="H259" s="130">
        <f t="shared" si="20"/>
        <v>2919648</v>
      </c>
      <c r="I259" s="129" t="str">
        <f t="shared" si="21"/>
        <v>OK</v>
      </c>
      <c r="J259" s="130">
        <v>730646</v>
      </c>
      <c r="K259" s="130">
        <f t="shared" si="22"/>
        <v>2922584</v>
      </c>
      <c r="L259" s="129" t="str">
        <f t="shared" si="23"/>
        <v>OK</v>
      </c>
    </row>
    <row r="260" spans="1:12" ht="15" x14ac:dyDescent="0.25">
      <c r="A260" s="80">
        <v>10.3</v>
      </c>
      <c r="B260" s="131" t="s">
        <v>333</v>
      </c>
      <c r="C260" s="80" t="s">
        <v>2</v>
      </c>
      <c r="D260" s="81">
        <v>95</v>
      </c>
      <c r="E260" s="130">
        <v>304301</v>
      </c>
      <c r="F260" s="128">
        <f t="shared" si="19"/>
        <v>28908595</v>
      </c>
      <c r="G260" s="130">
        <v>302323</v>
      </c>
      <c r="H260" s="130">
        <f t="shared" si="20"/>
        <v>28720685</v>
      </c>
      <c r="I260" s="129" t="str">
        <f t="shared" si="21"/>
        <v>OK</v>
      </c>
      <c r="J260" s="130">
        <v>302627</v>
      </c>
      <c r="K260" s="130">
        <f t="shared" si="22"/>
        <v>28749565</v>
      </c>
      <c r="L260" s="129" t="str">
        <f t="shared" si="23"/>
        <v>OK</v>
      </c>
    </row>
    <row r="261" spans="1:12" ht="25.5" x14ac:dyDescent="0.25">
      <c r="A261" s="80">
        <v>10.4</v>
      </c>
      <c r="B261" s="131" t="s">
        <v>334</v>
      </c>
      <c r="C261" s="80" t="s">
        <v>2</v>
      </c>
      <c r="D261" s="81">
        <v>4</v>
      </c>
      <c r="E261" s="130">
        <v>526268</v>
      </c>
      <c r="F261" s="128">
        <f t="shared" si="19"/>
        <v>2105072</v>
      </c>
      <c r="G261" s="130">
        <v>522847</v>
      </c>
      <c r="H261" s="130">
        <f t="shared" si="20"/>
        <v>2091388</v>
      </c>
      <c r="I261" s="129" t="str">
        <f t="shared" si="21"/>
        <v>OK</v>
      </c>
      <c r="J261" s="130">
        <v>523374</v>
      </c>
      <c r="K261" s="130">
        <f t="shared" si="22"/>
        <v>2093496</v>
      </c>
      <c r="L261" s="129" t="str">
        <f t="shared" si="23"/>
        <v>OK</v>
      </c>
    </row>
    <row r="262" spans="1:12" ht="15" x14ac:dyDescent="0.25">
      <c r="A262" s="80">
        <v>10.5</v>
      </c>
      <c r="B262" s="131" t="s">
        <v>335</v>
      </c>
      <c r="C262" s="80" t="s">
        <v>2</v>
      </c>
      <c r="D262" s="81">
        <v>99</v>
      </c>
      <c r="E262" s="130">
        <v>301200</v>
      </c>
      <c r="F262" s="128">
        <f t="shared" si="19"/>
        <v>29818800</v>
      </c>
      <c r="G262" s="130">
        <v>299242</v>
      </c>
      <c r="H262" s="130">
        <f t="shared" si="20"/>
        <v>29624958</v>
      </c>
      <c r="I262" s="129" t="str">
        <f t="shared" si="21"/>
        <v>OK</v>
      </c>
      <c r="J262" s="130">
        <v>299543</v>
      </c>
      <c r="K262" s="130">
        <f t="shared" si="22"/>
        <v>29654757</v>
      </c>
      <c r="L262" s="129" t="str">
        <f t="shared" si="23"/>
        <v>OK</v>
      </c>
    </row>
    <row r="263" spans="1:12" ht="15" x14ac:dyDescent="0.25">
      <c r="A263" s="80">
        <v>10.6</v>
      </c>
      <c r="B263" s="131" t="s">
        <v>336</v>
      </c>
      <c r="C263" s="80" t="s">
        <v>2</v>
      </c>
      <c r="D263" s="81">
        <v>96</v>
      </c>
      <c r="E263" s="130">
        <v>243969</v>
      </c>
      <c r="F263" s="128">
        <f t="shared" si="19"/>
        <v>23421024</v>
      </c>
      <c r="G263" s="130">
        <v>242383</v>
      </c>
      <c r="H263" s="130">
        <f t="shared" si="20"/>
        <v>23268768</v>
      </c>
      <c r="I263" s="129" t="str">
        <f t="shared" si="21"/>
        <v>OK</v>
      </c>
      <c r="J263" s="130">
        <v>242627</v>
      </c>
      <c r="K263" s="130">
        <f t="shared" si="22"/>
        <v>23292192</v>
      </c>
      <c r="L263" s="129" t="str">
        <f t="shared" si="23"/>
        <v>OK</v>
      </c>
    </row>
    <row r="264" spans="1:12" ht="38.25" x14ac:dyDescent="0.25">
      <c r="A264" s="80">
        <v>10.7</v>
      </c>
      <c r="B264" s="131" t="s">
        <v>337</v>
      </c>
      <c r="C264" s="80" t="s">
        <v>2</v>
      </c>
      <c r="D264" s="81">
        <v>4</v>
      </c>
      <c r="E264" s="130">
        <v>1347964</v>
      </c>
      <c r="F264" s="128">
        <f t="shared" si="19"/>
        <v>5391856</v>
      </c>
      <c r="G264" s="130">
        <v>1339202</v>
      </c>
      <c r="H264" s="130">
        <f t="shared" si="20"/>
        <v>5356808</v>
      </c>
      <c r="I264" s="129" t="str">
        <f t="shared" si="21"/>
        <v>OK</v>
      </c>
      <c r="J264" s="130">
        <v>1340550</v>
      </c>
      <c r="K264" s="130">
        <f t="shared" si="22"/>
        <v>5362200</v>
      </c>
      <c r="L264" s="129" t="str">
        <f t="shared" si="23"/>
        <v>OK</v>
      </c>
    </row>
    <row r="265" spans="1:12" ht="15" x14ac:dyDescent="0.25">
      <c r="A265" s="80"/>
      <c r="B265" s="131"/>
      <c r="C265" s="80"/>
      <c r="D265" s="81"/>
      <c r="E265" s="130"/>
      <c r="F265" s="128">
        <f t="shared" si="19"/>
        <v>0</v>
      </c>
      <c r="G265" s="130"/>
      <c r="H265" s="130">
        <f t="shared" si="20"/>
        <v>0</v>
      </c>
      <c r="I265" s="129" t="str">
        <f t="shared" si="21"/>
        <v>OK</v>
      </c>
      <c r="J265" s="130"/>
      <c r="K265" s="130">
        <f t="shared" si="22"/>
        <v>0</v>
      </c>
      <c r="L265" s="129" t="str">
        <f t="shared" si="23"/>
        <v>OK</v>
      </c>
    </row>
    <row r="266" spans="1:12" ht="15" x14ac:dyDescent="0.25">
      <c r="A266" s="80"/>
      <c r="B266" s="130" t="s">
        <v>338</v>
      </c>
      <c r="C266" s="80"/>
      <c r="D266" s="81"/>
      <c r="E266" s="130"/>
      <c r="F266" s="128">
        <f t="shared" ref="F266:F300" si="24">ROUND($D266*E266,0)</f>
        <v>0</v>
      </c>
      <c r="G266" s="130"/>
      <c r="H266" s="130">
        <f t="shared" si="20"/>
        <v>0</v>
      </c>
      <c r="I266" s="129" t="str">
        <f t="shared" si="21"/>
        <v>OK</v>
      </c>
      <c r="J266" s="130"/>
      <c r="K266" s="130">
        <f t="shared" si="22"/>
        <v>0</v>
      </c>
      <c r="L266" s="129" t="str">
        <f t="shared" si="23"/>
        <v>OK</v>
      </c>
    </row>
    <row r="267" spans="1:12" ht="15" x14ac:dyDescent="0.25">
      <c r="A267" s="80"/>
      <c r="B267" s="131"/>
      <c r="C267" s="80"/>
      <c r="D267" s="81"/>
      <c r="E267" s="130"/>
      <c r="F267" s="128">
        <f t="shared" si="24"/>
        <v>0</v>
      </c>
      <c r="G267" s="130"/>
      <c r="H267" s="130">
        <f t="shared" ref="H267:H300" si="25">ROUND($D267*G267,0)</f>
        <v>0</v>
      </c>
      <c r="I267" s="129" t="str">
        <f t="shared" ref="I267:I300" si="26">+IF(G267&lt;=$E267,"OK","NO OK")</f>
        <v>OK</v>
      </c>
      <c r="J267" s="130"/>
      <c r="K267" s="130">
        <f t="shared" ref="K267:K300" si="27">ROUND($D267*J267,0)</f>
        <v>0</v>
      </c>
      <c r="L267" s="129" t="str">
        <f t="shared" ref="L267:L300" si="28">+IF(J267&lt;=$E267,"OK","NO OK")</f>
        <v>OK</v>
      </c>
    </row>
    <row r="268" spans="1:12" ht="15" x14ac:dyDescent="0.25">
      <c r="A268" s="80">
        <v>11</v>
      </c>
      <c r="B268" s="131" t="s">
        <v>339</v>
      </c>
      <c r="C268" s="80"/>
      <c r="D268" s="81"/>
      <c r="E268" s="130"/>
      <c r="F268" s="128">
        <f t="shared" si="24"/>
        <v>0</v>
      </c>
      <c r="G268" s="130"/>
      <c r="H268" s="130">
        <f t="shared" si="25"/>
        <v>0</v>
      </c>
      <c r="I268" s="129" t="str">
        <f t="shared" si="26"/>
        <v>OK</v>
      </c>
      <c r="J268" s="130"/>
      <c r="K268" s="130">
        <f t="shared" si="27"/>
        <v>0</v>
      </c>
      <c r="L268" s="129" t="str">
        <f t="shared" si="28"/>
        <v>OK</v>
      </c>
    </row>
    <row r="269" spans="1:12" ht="15" x14ac:dyDescent="0.25">
      <c r="A269" s="80">
        <v>11.1</v>
      </c>
      <c r="B269" s="131" t="s">
        <v>340</v>
      </c>
      <c r="C269" s="80" t="s">
        <v>11</v>
      </c>
      <c r="D269" s="81">
        <v>21.88</v>
      </c>
      <c r="E269" s="130">
        <v>860452</v>
      </c>
      <c r="F269" s="128">
        <f t="shared" si="24"/>
        <v>18826690</v>
      </c>
      <c r="G269" s="130">
        <v>854859</v>
      </c>
      <c r="H269" s="130">
        <f t="shared" si="25"/>
        <v>18704315</v>
      </c>
      <c r="I269" s="129" t="str">
        <f t="shared" si="26"/>
        <v>OK</v>
      </c>
      <c r="J269" s="130">
        <v>855720</v>
      </c>
      <c r="K269" s="130">
        <f t="shared" si="27"/>
        <v>18723154</v>
      </c>
      <c r="L269" s="129" t="str">
        <f t="shared" si="28"/>
        <v>OK</v>
      </c>
    </row>
    <row r="270" spans="1:12" ht="15" x14ac:dyDescent="0.25">
      <c r="A270" s="80">
        <v>11.2</v>
      </c>
      <c r="B270" s="131" t="s">
        <v>341</v>
      </c>
      <c r="C270" s="80" t="s">
        <v>7</v>
      </c>
      <c r="D270" s="81">
        <v>225</v>
      </c>
      <c r="E270" s="130">
        <v>57495</v>
      </c>
      <c r="F270" s="128">
        <f t="shared" si="24"/>
        <v>12936375</v>
      </c>
      <c r="G270" s="130">
        <v>57121</v>
      </c>
      <c r="H270" s="130">
        <f t="shared" si="25"/>
        <v>12852225</v>
      </c>
      <c r="I270" s="129" t="str">
        <f t="shared" si="26"/>
        <v>OK</v>
      </c>
      <c r="J270" s="130">
        <v>57179</v>
      </c>
      <c r="K270" s="130">
        <f t="shared" si="27"/>
        <v>12865275</v>
      </c>
      <c r="L270" s="129" t="str">
        <f t="shared" si="28"/>
        <v>OK</v>
      </c>
    </row>
    <row r="271" spans="1:12" ht="15" x14ac:dyDescent="0.25">
      <c r="A271" s="80">
        <v>11.3</v>
      </c>
      <c r="B271" s="131" t="s">
        <v>342</v>
      </c>
      <c r="C271" s="80" t="s">
        <v>7</v>
      </c>
      <c r="D271" s="81">
        <v>1190</v>
      </c>
      <c r="E271" s="130">
        <v>98914</v>
      </c>
      <c r="F271" s="128">
        <f t="shared" si="24"/>
        <v>117707660</v>
      </c>
      <c r="G271" s="130">
        <v>98271</v>
      </c>
      <c r="H271" s="130">
        <f t="shared" si="25"/>
        <v>116942490</v>
      </c>
      <c r="I271" s="129" t="str">
        <f t="shared" si="26"/>
        <v>OK</v>
      </c>
      <c r="J271" s="130">
        <v>98370</v>
      </c>
      <c r="K271" s="130">
        <f t="shared" si="27"/>
        <v>117060300</v>
      </c>
      <c r="L271" s="129" t="str">
        <f t="shared" si="28"/>
        <v>OK</v>
      </c>
    </row>
    <row r="272" spans="1:12" ht="25.5" x14ac:dyDescent="0.25">
      <c r="A272" s="80">
        <v>11.4</v>
      </c>
      <c r="B272" s="131" t="s">
        <v>343</v>
      </c>
      <c r="C272" s="80" t="s">
        <v>7</v>
      </c>
      <c r="D272" s="81">
        <v>2074.58</v>
      </c>
      <c r="E272" s="130">
        <v>52213</v>
      </c>
      <c r="F272" s="128">
        <f t="shared" si="24"/>
        <v>108320046</v>
      </c>
      <c r="G272" s="130">
        <v>51874</v>
      </c>
      <c r="H272" s="130">
        <f t="shared" si="25"/>
        <v>107616763</v>
      </c>
      <c r="I272" s="129" t="str">
        <f t="shared" si="26"/>
        <v>OK</v>
      </c>
      <c r="J272" s="130">
        <v>51926</v>
      </c>
      <c r="K272" s="130">
        <f t="shared" si="27"/>
        <v>107724641</v>
      </c>
      <c r="L272" s="129" t="str">
        <f t="shared" si="28"/>
        <v>OK</v>
      </c>
    </row>
    <row r="273" spans="1:12" ht="15" x14ac:dyDescent="0.25">
      <c r="A273" s="80">
        <v>11.5</v>
      </c>
      <c r="B273" s="131" t="s">
        <v>344</v>
      </c>
      <c r="C273" s="80" t="s">
        <v>7</v>
      </c>
      <c r="D273" s="81">
        <v>2239</v>
      </c>
      <c r="E273" s="130">
        <v>10831</v>
      </c>
      <c r="F273" s="128">
        <f t="shared" si="24"/>
        <v>24250609</v>
      </c>
      <c r="G273" s="130">
        <v>10761</v>
      </c>
      <c r="H273" s="130">
        <f t="shared" si="25"/>
        <v>24093879</v>
      </c>
      <c r="I273" s="129" t="str">
        <f t="shared" si="26"/>
        <v>OK</v>
      </c>
      <c r="J273" s="130">
        <v>10771</v>
      </c>
      <c r="K273" s="130">
        <f t="shared" si="27"/>
        <v>24116269</v>
      </c>
      <c r="L273" s="129" t="str">
        <f t="shared" si="28"/>
        <v>OK</v>
      </c>
    </row>
    <row r="274" spans="1:12" ht="15" x14ac:dyDescent="0.25">
      <c r="A274" s="80">
        <v>11.6</v>
      </c>
      <c r="B274" s="131" t="s">
        <v>345</v>
      </c>
      <c r="C274" s="80" t="s">
        <v>11</v>
      </c>
      <c r="D274" s="81">
        <v>132.5</v>
      </c>
      <c r="E274" s="130">
        <v>659968</v>
      </c>
      <c r="F274" s="128">
        <f t="shared" si="24"/>
        <v>87445760</v>
      </c>
      <c r="G274" s="130">
        <v>655678</v>
      </c>
      <c r="H274" s="130">
        <f t="shared" si="25"/>
        <v>86877335</v>
      </c>
      <c r="I274" s="129" t="str">
        <f t="shared" si="26"/>
        <v>OK</v>
      </c>
      <c r="J274" s="130">
        <v>656338</v>
      </c>
      <c r="K274" s="130">
        <f t="shared" si="27"/>
        <v>86964785</v>
      </c>
      <c r="L274" s="129" t="str">
        <f t="shared" si="28"/>
        <v>OK</v>
      </c>
    </row>
    <row r="275" spans="1:12" ht="15" x14ac:dyDescent="0.25">
      <c r="A275" s="80">
        <v>11.7</v>
      </c>
      <c r="B275" s="131" t="s">
        <v>376</v>
      </c>
      <c r="C275" s="80" t="s">
        <v>123</v>
      </c>
      <c r="D275" s="81">
        <v>7705.16</v>
      </c>
      <c r="E275" s="130">
        <v>4172</v>
      </c>
      <c r="F275" s="128">
        <f t="shared" si="24"/>
        <v>32145928</v>
      </c>
      <c r="G275" s="130">
        <v>4145</v>
      </c>
      <c r="H275" s="130">
        <f t="shared" si="25"/>
        <v>31937888</v>
      </c>
      <c r="I275" s="129" t="str">
        <f t="shared" si="26"/>
        <v>OK</v>
      </c>
      <c r="J275" s="130">
        <v>4149</v>
      </c>
      <c r="K275" s="130">
        <f t="shared" si="27"/>
        <v>31968709</v>
      </c>
      <c r="L275" s="129" t="str">
        <f t="shared" si="28"/>
        <v>OK</v>
      </c>
    </row>
    <row r="276" spans="1:12" ht="15" x14ac:dyDescent="0.25">
      <c r="A276" s="80">
        <v>11.8</v>
      </c>
      <c r="B276" s="131" t="s">
        <v>346</v>
      </c>
      <c r="C276" s="80" t="s">
        <v>2</v>
      </c>
      <c r="D276" s="81">
        <v>24</v>
      </c>
      <c r="E276" s="130">
        <v>219165</v>
      </c>
      <c r="F276" s="128">
        <f t="shared" si="24"/>
        <v>5259960</v>
      </c>
      <c r="G276" s="130">
        <v>217740</v>
      </c>
      <c r="H276" s="130">
        <f t="shared" si="25"/>
        <v>5225760</v>
      </c>
      <c r="I276" s="129" t="str">
        <f t="shared" si="26"/>
        <v>OK</v>
      </c>
      <c r="J276" s="130">
        <v>217960</v>
      </c>
      <c r="K276" s="130">
        <f t="shared" si="27"/>
        <v>5231040</v>
      </c>
      <c r="L276" s="129" t="str">
        <f t="shared" si="28"/>
        <v>OK</v>
      </c>
    </row>
    <row r="277" spans="1:12" ht="38.25" x14ac:dyDescent="0.25">
      <c r="A277" s="80">
        <v>11.9</v>
      </c>
      <c r="B277" s="131" t="s">
        <v>347</v>
      </c>
      <c r="C277" s="80" t="s">
        <v>7</v>
      </c>
      <c r="D277" s="81">
        <v>212.1</v>
      </c>
      <c r="E277" s="130">
        <v>171337</v>
      </c>
      <c r="F277" s="128">
        <f t="shared" si="24"/>
        <v>36340578</v>
      </c>
      <c r="G277" s="130">
        <v>170223</v>
      </c>
      <c r="H277" s="130">
        <f t="shared" si="25"/>
        <v>36104298</v>
      </c>
      <c r="I277" s="129" t="str">
        <f t="shared" si="26"/>
        <v>OK</v>
      </c>
      <c r="J277" s="130">
        <v>170395</v>
      </c>
      <c r="K277" s="130">
        <f t="shared" si="27"/>
        <v>36140780</v>
      </c>
      <c r="L277" s="129" t="str">
        <f t="shared" si="28"/>
        <v>OK</v>
      </c>
    </row>
    <row r="278" spans="1:12" ht="15" x14ac:dyDescent="0.25">
      <c r="A278" s="80"/>
      <c r="B278" s="131"/>
      <c r="C278" s="80"/>
      <c r="D278" s="81"/>
      <c r="E278" s="130"/>
      <c r="F278" s="128">
        <f t="shared" si="24"/>
        <v>0</v>
      </c>
      <c r="G278" s="130"/>
      <c r="H278" s="130">
        <f t="shared" si="25"/>
        <v>0</v>
      </c>
      <c r="I278" s="129" t="str">
        <f t="shared" si="26"/>
        <v>OK</v>
      </c>
      <c r="J278" s="130"/>
      <c r="K278" s="130">
        <f t="shared" si="27"/>
        <v>0</v>
      </c>
      <c r="L278" s="129" t="str">
        <f t="shared" si="28"/>
        <v>OK</v>
      </c>
    </row>
    <row r="279" spans="1:12" ht="15" x14ac:dyDescent="0.25">
      <c r="A279" s="80"/>
      <c r="B279" s="130" t="s">
        <v>348</v>
      </c>
      <c r="C279" s="80"/>
      <c r="D279" s="81"/>
      <c r="E279" s="130"/>
      <c r="F279" s="128">
        <f t="shared" si="24"/>
        <v>0</v>
      </c>
      <c r="G279" s="130"/>
      <c r="H279" s="130">
        <f t="shared" si="25"/>
        <v>0</v>
      </c>
      <c r="I279" s="129" t="str">
        <f t="shared" si="26"/>
        <v>OK</v>
      </c>
      <c r="J279" s="130"/>
      <c r="K279" s="130">
        <f t="shared" si="27"/>
        <v>0</v>
      </c>
      <c r="L279" s="129" t="str">
        <f t="shared" si="28"/>
        <v>OK</v>
      </c>
    </row>
    <row r="280" spans="1:12" ht="15" x14ac:dyDescent="0.25">
      <c r="A280" s="80"/>
      <c r="B280" s="131"/>
      <c r="C280" s="80"/>
      <c r="D280" s="81"/>
      <c r="E280" s="130"/>
      <c r="F280" s="128">
        <f t="shared" si="24"/>
        <v>0</v>
      </c>
      <c r="G280" s="130"/>
      <c r="H280" s="130">
        <f t="shared" si="25"/>
        <v>0</v>
      </c>
      <c r="I280" s="129" t="str">
        <f t="shared" si="26"/>
        <v>OK</v>
      </c>
      <c r="J280" s="130"/>
      <c r="K280" s="130">
        <f t="shared" si="27"/>
        <v>0</v>
      </c>
      <c r="L280" s="129" t="str">
        <f t="shared" si="28"/>
        <v>OK</v>
      </c>
    </row>
    <row r="281" spans="1:12" ht="15" x14ac:dyDescent="0.25">
      <c r="A281" s="80">
        <v>12</v>
      </c>
      <c r="B281" s="131" t="s">
        <v>349</v>
      </c>
      <c r="C281" s="80"/>
      <c r="D281" s="81"/>
      <c r="E281" s="130"/>
      <c r="F281" s="128">
        <f t="shared" si="24"/>
        <v>0</v>
      </c>
      <c r="G281" s="130"/>
      <c r="H281" s="130">
        <f t="shared" si="25"/>
        <v>0</v>
      </c>
      <c r="I281" s="129" t="str">
        <f t="shared" si="26"/>
        <v>OK</v>
      </c>
      <c r="J281" s="130"/>
      <c r="K281" s="130">
        <f t="shared" si="27"/>
        <v>0</v>
      </c>
      <c r="L281" s="129" t="str">
        <f t="shared" si="28"/>
        <v>OK</v>
      </c>
    </row>
    <row r="282" spans="1:12" ht="15" x14ac:dyDescent="0.25">
      <c r="A282" s="80">
        <v>12.1</v>
      </c>
      <c r="B282" s="131" t="s">
        <v>350</v>
      </c>
      <c r="C282" s="80" t="s">
        <v>7</v>
      </c>
      <c r="D282" s="81">
        <v>1258.5</v>
      </c>
      <c r="E282" s="130">
        <v>82679</v>
      </c>
      <c r="F282" s="128">
        <f t="shared" si="24"/>
        <v>104051522</v>
      </c>
      <c r="G282" s="130">
        <v>82142</v>
      </c>
      <c r="H282" s="130">
        <f t="shared" si="25"/>
        <v>103375707</v>
      </c>
      <c r="I282" s="129" t="str">
        <f t="shared" si="26"/>
        <v>OK</v>
      </c>
      <c r="J282" s="130">
        <v>82224</v>
      </c>
      <c r="K282" s="130">
        <f t="shared" si="27"/>
        <v>103478904</v>
      </c>
      <c r="L282" s="129" t="str">
        <f t="shared" si="28"/>
        <v>OK</v>
      </c>
    </row>
    <row r="283" spans="1:12" ht="15" x14ac:dyDescent="0.25">
      <c r="A283" s="80">
        <v>12.2</v>
      </c>
      <c r="B283" s="131" t="s">
        <v>351</v>
      </c>
      <c r="C283" s="80" t="s">
        <v>88</v>
      </c>
      <c r="D283" s="81">
        <v>56.3</v>
      </c>
      <c r="E283" s="130">
        <v>83578</v>
      </c>
      <c r="F283" s="128">
        <f t="shared" si="24"/>
        <v>4705441</v>
      </c>
      <c r="G283" s="130">
        <v>83035</v>
      </c>
      <c r="H283" s="130">
        <f t="shared" si="25"/>
        <v>4674871</v>
      </c>
      <c r="I283" s="129" t="str">
        <f t="shared" si="26"/>
        <v>OK</v>
      </c>
      <c r="J283" s="130">
        <v>83118</v>
      </c>
      <c r="K283" s="130">
        <f t="shared" si="27"/>
        <v>4679543</v>
      </c>
      <c r="L283" s="129" t="str">
        <f t="shared" si="28"/>
        <v>OK</v>
      </c>
    </row>
    <row r="284" spans="1:12" ht="25.5" x14ac:dyDescent="0.25">
      <c r="A284" s="80">
        <v>12.3</v>
      </c>
      <c r="B284" s="131" t="s">
        <v>352</v>
      </c>
      <c r="C284" s="80" t="s">
        <v>353</v>
      </c>
      <c r="D284" s="81">
        <v>11301.73</v>
      </c>
      <c r="E284" s="130">
        <v>16167</v>
      </c>
      <c r="F284" s="128">
        <f t="shared" si="24"/>
        <v>182715069</v>
      </c>
      <c r="G284" s="130">
        <v>16005</v>
      </c>
      <c r="H284" s="130">
        <f t="shared" si="25"/>
        <v>180884189</v>
      </c>
      <c r="I284" s="129" t="str">
        <f t="shared" si="26"/>
        <v>OK</v>
      </c>
      <c r="J284" s="130">
        <v>16078</v>
      </c>
      <c r="K284" s="130">
        <f t="shared" si="27"/>
        <v>181709215</v>
      </c>
      <c r="L284" s="129" t="str">
        <f t="shared" si="28"/>
        <v>OK</v>
      </c>
    </row>
    <row r="285" spans="1:12" ht="15" x14ac:dyDescent="0.25">
      <c r="A285" s="80">
        <v>12.4</v>
      </c>
      <c r="B285" s="131" t="s">
        <v>354</v>
      </c>
      <c r="C285" s="80" t="s">
        <v>7</v>
      </c>
      <c r="D285" s="81">
        <v>425.15</v>
      </c>
      <c r="E285" s="130">
        <v>123038.5</v>
      </c>
      <c r="F285" s="128">
        <f t="shared" si="24"/>
        <v>52309818</v>
      </c>
      <c r="G285" s="130">
        <v>122239</v>
      </c>
      <c r="H285" s="130">
        <f t="shared" si="25"/>
        <v>51969911</v>
      </c>
      <c r="I285" s="129" t="str">
        <f t="shared" si="26"/>
        <v>OK</v>
      </c>
      <c r="J285" s="130">
        <v>122362</v>
      </c>
      <c r="K285" s="130">
        <f t="shared" si="27"/>
        <v>52022204</v>
      </c>
      <c r="L285" s="129" t="str">
        <f t="shared" si="28"/>
        <v>OK</v>
      </c>
    </row>
    <row r="286" spans="1:12" ht="15" x14ac:dyDescent="0.25">
      <c r="A286" s="80"/>
      <c r="B286" s="131"/>
      <c r="C286" s="80"/>
      <c r="D286" s="81"/>
      <c r="E286" s="130"/>
      <c r="F286" s="128">
        <f t="shared" si="24"/>
        <v>0</v>
      </c>
      <c r="G286" s="130"/>
      <c r="H286" s="130">
        <f t="shared" si="25"/>
        <v>0</v>
      </c>
      <c r="I286" s="129" t="str">
        <f t="shared" si="26"/>
        <v>OK</v>
      </c>
      <c r="J286" s="130"/>
      <c r="K286" s="130">
        <f t="shared" si="27"/>
        <v>0</v>
      </c>
      <c r="L286" s="129" t="str">
        <f t="shared" si="28"/>
        <v>OK</v>
      </c>
    </row>
    <row r="287" spans="1:12" ht="15" x14ac:dyDescent="0.25">
      <c r="A287" s="80"/>
      <c r="B287" s="130" t="s">
        <v>355</v>
      </c>
      <c r="C287" s="80"/>
      <c r="D287" s="81"/>
      <c r="E287" s="130"/>
      <c r="F287" s="128">
        <f t="shared" si="24"/>
        <v>0</v>
      </c>
      <c r="G287" s="130"/>
      <c r="H287" s="130">
        <f t="shared" si="25"/>
        <v>0</v>
      </c>
      <c r="I287" s="129" t="str">
        <f t="shared" si="26"/>
        <v>OK</v>
      </c>
      <c r="J287" s="130"/>
      <c r="K287" s="130">
        <f t="shared" si="27"/>
        <v>0</v>
      </c>
      <c r="L287" s="129" t="str">
        <f t="shared" si="28"/>
        <v>OK</v>
      </c>
    </row>
    <row r="288" spans="1:12" ht="15" x14ac:dyDescent="0.25">
      <c r="A288" s="80"/>
      <c r="B288" s="131"/>
      <c r="C288" s="80"/>
      <c r="D288" s="81"/>
      <c r="E288" s="130"/>
      <c r="F288" s="128">
        <f t="shared" si="24"/>
        <v>0</v>
      </c>
      <c r="G288" s="130"/>
      <c r="H288" s="130">
        <f t="shared" si="25"/>
        <v>0</v>
      </c>
      <c r="I288" s="129" t="str">
        <f t="shared" si="26"/>
        <v>OK</v>
      </c>
      <c r="J288" s="130"/>
      <c r="K288" s="130">
        <f t="shared" si="27"/>
        <v>0</v>
      </c>
      <c r="L288" s="129" t="str">
        <f t="shared" si="28"/>
        <v>OK</v>
      </c>
    </row>
    <row r="289" spans="1:12" ht="15" x14ac:dyDescent="0.25">
      <c r="A289" s="80">
        <v>13</v>
      </c>
      <c r="B289" s="131" t="s">
        <v>356</v>
      </c>
      <c r="C289" s="80"/>
      <c r="D289" s="81"/>
      <c r="E289" s="130"/>
      <c r="F289" s="128">
        <f t="shared" si="24"/>
        <v>0</v>
      </c>
      <c r="G289" s="130"/>
      <c r="H289" s="130">
        <f t="shared" si="25"/>
        <v>0</v>
      </c>
      <c r="I289" s="129" t="str">
        <f t="shared" si="26"/>
        <v>OK</v>
      </c>
      <c r="J289" s="130"/>
      <c r="K289" s="130">
        <f t="shared" si="27"/>
        <v>0</v>
      </c>
      <c r="L289" s="129" t="str">
        <f t="shared" si="28"/>
        <v>OK</v>
      </c>
    </row>
    <row r="290" spans="1:12" ht="25.5" x14ac:dyDescent="0.25">
      <c r="A290" s="80" t="s">
        <v>357</v>
      </c>
      <c r="B290" s="131" t="s">
        <v>358</v>
      </c>
      <c r="C290" s="80" t="s">
        <v>7</v>
      </c>
      <c r="D290" s="81">
        <v>1029.7</v>
      </c>
      <c r="E290" s="130">
        <v>462822</v>
      </c>
      <c r="F290" s="128">
        <f t="shared" si="24"/>
        <v>476567813</v>
      </c>
      <c r="G290" s="130">
        <v>459814</v>
      </c>
      <c r="H290" s="130">
        <f t="shared" si="25"/>
        <v>473470476</v>
      </c>
      <c r="I290" s="129" t="str">
        <f t="shared" si="26"/>
        <v>OK</v>
      </c>
      <c r="J290" s="130">
        <v>460276</v>
      </c>
      <c r="K290" s="130">
        <f t="shared" si="27"/>
        <v>473946197</v>
      </c>
      <c r="L290" s="129" t="str">
        <f t="shared" si="28"/>
        <v>OK</v>
      </c>
    </row>
    <row r="291" spans="1:12" ht="25.5" x14ac:dyDescent="0.25">
      <c r="A291" s="80" t="s">
        <v>359</v>
      </c>
      <c r="B291" s="131" t="s">
        <v>360</v>
      </c>
      <c r="C291" s="80" t="s">
        <v>88</v>
      </c>
      <c r="D291" s="81">
        <v>192.86</v>
      </c>
      <c r="E291" s="130">
        <v>72228</v>
      </c>
      <c r="F291" s="128">
        <f t="shared" si="24"/>
        <v>13929892</v>
      </c>
      <c r="G291" s="130">
        <v>71759</v>
      </c>
      <c r="H291" s="130">
        <f t="shared" si="25"/>
        <v>13839441</v>
      </c>
      <c r="I291" s="129" t="str">
        <f t="shared" si="26"/>
        <v>OK</v>
      </c>
      <c r="J291" s="130">
        <v>71831</v>
      </c>
      <c r="K291" s="130">
        <f t="shared" si="27"/>
        <v>13853327</v>
      </c>
      <c r="L291" s="129" t="str">
        <f t="shared" si="28"/>
        <v>OK</v>
      </c>
    </row>
    <row r="292" spans="1:12" ht="38.25" x14ac:dyDescent="0.25">
      <c r="A292" s="80" t="s">
        <v>361</v>
      </c>
      <c r="B292" s="131" t="s">
        <v>362</v>
      </c>
      <c r="C292" s="80" t="s">
        <v>353</v>
      </c>
      <c r="D292" s="81">
        <v>17128</v>
      </c>
      <c r="E292" s="130">
        <v>20595</v>
      </c>
      <c r="F292" s="128">
        <f t="shared" si="24"/>
        <v>352751160</v>
      </c>
      <c r="G292" s="130">
        <v>20461</v>
      </c>
      <c r="H292" s="130">
        <f t="shared" si="25"/>
        <v>350456008</v>
      </c>
      <c r="I292" s="129" t="str">
        <f t="shared" si="26"/>
        <v>OK</v>
      </c>
      <c r="J292" s="130">
        <v>20482</v>
      </c>
      <c r="K292" s="130">
        <f t="shared" si="27"/>
        <v>350815696</v>
      </c>
      <c r="L292" s="129" t="str">
        <f t="shared" si="28"/>
        <v>OK</v>
      </c>
    </row>
    <row r="293" spans="1:12" ht="25.5" x14ac:dyDescent="0.25">
      <c r="A293" s="80" t="s">
        <v>363</v>
      </c>
      <c r="B293" s="131" t="s">
        <v>364</v>
      </c>
      <c r="C293" s="80" t="s">
        <v>2</v>
      </c>
      <c r="D293" s="81">
        <v>552</v>
      </c>
      <c r="E293" s="130">
        <v>43640</v>
      </c>
      <c r="F293" s="128">
        <f t="shared" si="24"/>
        <v>24089280</v>
      </c>
      <c r="G293" s="130">
        <v>43356</v>
      </c>
      <c r="H293" s="130">
        <f t="shared" si="25"/>
        <v>23932512</v>
      </c>
      <c r="I293" s="129" t="str">
        <f t="shared" si="26"/>
        <v>OK</v>
      </c>
      <c r="J293" s="130">
        <v>43400</v>
      </c>
      <c r="K293" s="130">
        <f t="shared" si="27"/>
        <v>23956800</v>
      </c>
      <c r="L293" s="129" t="str">
        <f t="shared" si="28"/>
        <v>OK</v>
      </c>
    </row>
    <row r="294" spans="1:12" ht="15" x14ac:dyDescent="0.25">
      <c r="A294" s="80"/>
      <c r="B294" s="131"/>
      <c r="C294" s="80"/>
      <c r="D294" s="81"/>
      <c r="E294" s="130"/>
      <c r="F294" s="128">
        <f t="shared" si="24"/>
        <v>0</v>
      </c>
      <c r="G294" s="130"/>
      <c r="H294" s="130">
        <f t="shared" si="25"/>
        <v>0</v>
      </c>
      <c r="I294" s="129" t="str">
        <f t="shared" si="26"/>
        <v>OK</v>
      </c>
      <c r="J294" s="130"/>
      <c r="K294" s="130">
        <f t="shared" si="27"/>
        <v>0</v>
      </c>
      <c r="L294" s="129" t="str">
        <f t="shared" si="28"/>
        <v>OK</v>
      </c>
    </row>
    <row r="295" spans="1:12" ht="15" x14ac:dyDescent="0.25">
      <c r="A295" s="80"/>
      <c r="B295" s="130" t="s">
        <v>365</v>
      </c>
      <c r="C295" s="80"/>
      <c r="D295" s="81"/>
      <c r="E295" s="130"/>
      <c r="F295" s="128">
        <f t="shared" si="24"/>
        <v>0</v>
      </c>
      <c r="G295" s="130"/>
      <c r="H295" s="130">
        <f t="shared" si="25"/>
        <v>0</v>
      </c>
      <c r="I295" s="129" t="str">
        <f t="shared" si="26"/>
        <v>OK</v>
      </c>
      <c r="J295" s="130"/>
      <c r="K295" s="130">
        <f t="shared" si="27"/>
        <v>0</v>
      </c>
      <c r="L295" s="129" t="str">
        <f t="shared" si="28"/>
        <v>OK</v>
      </c>
    </row>
    <row r="296" spans="1:12" ht="15" x14ac:dyDescent="0.25">
      <c r="A296" s="80"/>
      <c r="B296" s="131"/>
      <c r="C296" s="80"/>
      <c r="D296" s="81"/>
      <c r="E296" s="130"/>
      <c r="F296" s="128">
        <f t="shared" si="24"/>
        <v>0</v>
      </c>
      <c r="G296" s="130"/>
      <c r="H296" s="130">
        <f t="shared" si="25"/>
        <v>0</v>
      </c>
      <c r="I296" s="129" t="str">
        <f t="shared" si="26"/>
        <v>OK</v>
      </c>
      <c r="J296" s="130"/>
      <c r="K296" s="130">
        <f t="shared" si="27"/>
        <v>0</v>
      </c>
      <c r="L296" s="129" t="str">
        <f t="shared" si="28"/>
        <v>OK</v>
      </c>
    </row>
    <row r="297" spans="1:12" ht="15" x14ac:dyDescent="0.25">
      <c r="A297" s="80">
        <v>14</v>
      </c>
      <c r="B297" s="131" t="s">
        <v>366</v>
      </c>
      <c r="C297" s="80"/>
      <c r="D297" s="81"/>
      <c r="E297" s="130"/>
      <c r="F297" s="128">
        <f t="shared" si="24"/>
        <v>0</v>
      </c>
      <c r="G297" s="130"/>
      <c r="H297" s="130">
        <f t="shared" si="25"/>
        <v>0</v>
      </c>
      <c r="I297" s="129" t="str">
        <f t="shared" si="26"/>
        <v>OK</v>
      </c>
      <c r="J297" s="130"/>
      <c r="K297" s="130">
        <f t="shared" si="27"/>
        <v>0</v>
      </c>
      <c r="L297" s="129" t="str">
        <f t="shared" si="28"/>
        <v>OK</v>
      </c>
    </row>
    <row r="298" spans="1:12" ht="25.5" x14ac:dyDescent="0.25">
      <c r="A298" s="80" t="s">
        <v>367</v>
      </c>
      <c r="B298" s="131" t="s">
        <v>368</v>
      </c>
      <c r="C298" s="80" t="s">
        <v>7</v>
      </c>
      <c r="D298" s="81">
        <v>4811.91</v>
      </c>
      <c r="E298" s="130">
        <v>3799</v>
      </c>
      <c r="F298" s="128">
        <f t="shared" si="24"/>
        <v>18280446</v>
      </c>
      <c r="G298" s="130">
        <v>3774</v>
      </c>
      <c r="H298" s="130">
        <f t="shared" si="25"/>
        <v>18160148</v>
      </c>
      <c r="I298" s="129" t="str">
        <f t="shared" si="26"/>
        <v>OK</v>
      </c>
      <c r="J298" s="130">
        <v>3778</v>
      </c>
      <c r="K298" s="130">
        <f t="shared" si="27"/>
        <v>18179396</v>
      </c>
      <c r="L298" s="129" t="str">
        <f t="shared" si="28"/>
        <v>OK</v>
      </c>
    </row>
    <row r="299" spans="1:12" ht="15" x14ac:dyDescent="0.25">
      <c r="A299" s="80"/>
      <c r="B299" s="131"/>
      <c r="C299" s="80"/>
      <c r="D299" s="81"/>
      <c r="E299" s="130"/>
      <c r="F299" s="128">
        <f t="shared" si="24"/>
        <v>0</v>
      </c>
      <c r="G299" s="130"/>
      <c r="H299" s="130">
        <f t="shared" si="25"/>
        <v>0</v>
      </c>
      <c r="I299" s="129" t="str">
        <f t="shared" si="26"/>
        <v>OK</v>
      </c>
      <c r="J299" s="130"/>
      <c r="K299" s="130">
        <f t="shared" si="27"/>
        <v>0</v>
      </c>
      <c r="L299" s="129" t="str">
        <f t="shared" si="28"/>
        <v>OK</v>
      </c>
    </row>
    <row r="300" spans="1:12" ht="15" x14ac:dyDescent="0.25">
      <c r="A300" s="80"/>
      <c r="B300" s="130" t="s">
        <v>369</v>
      </c>
      <c r="C300" s="80"/>
      <c r="D300" s="81"/>
      <c r="E300" s="130"/>
      <c r="F300" s="128">
        <f t="shared" si="24"/>
        <v>0</v>
      </c>
      <c r="G300" s="130"/>
      <c r="H300" s="130">
        <f t="shared" si="25"/>
        <v>0</v>
      </c>
      <c r="I300" s="129" t="str">
        <f t="shared" si="26"/>
        <v>OK</v>
      </c>
      <c r="J300" s="130"/>
      <c r="K300" s="130">
        <f t="shared" si="27"/>
        <v>0</v>
      </c>
      <c r="L300" s="129" t="str">
        <f t="shared" si="28"/>
        <v>OK</v>
      </c>
    </row>
    <row r="301" spans="1:12" ht="15" x14ac:dyDescent="0.25">
      <c r="A301" s="80"/>
      <c r="B301" s="131"/>
      <c r="C301" s="80"/>
      <c r="D301" s="81"/>
      <c r="E301" s="130"/>
      <c r="F301" s="130"/>
      <c r="G301" s="130"/>
      <c r="H301" s="130"/>
      <c r="I301" s="129"/>
      <c r="J301" s="130"/>
      <c r="K301" s="130"/>
      <c r="L301" s="129"/>
    </row>
    <row r="302" spans="1:12" ht="25.5" x14ac:dyDescent="0.25">
      <c r="A302" s="80"/>
      <c r="B302" s="153" t="s">
        <v>377</v>
      </c>
      <c r="C302" s="80"/>
      <c r="D302" s="80"/>
      <c r="E302" s="82"/>
      <c r="F302" s="154">
        <f>SUM(F8:F301)</f>
        <v>8277731869</v>
      </c>
      <c r="G302" s="82"/>
      <c r="H302" s="154">
        <f>SUM(H8:H301)</f>
        <v>8218959281</v>
      </c>
      <c r="I302" s="80"/>
      <c r="J302" s="82"/>
      <c r="K302" s="154">
        <f>SUM(K8:K301)</f>
        <v>8232255044</v>
      </c>
      <c r="L302" s="80"/>
    </row>
    <row r="303" spans="1:12" x14ac:dyDescent="0.25">
      <c r="A303" s="80"/>
      <c r="B303" s="133"/>
      <c r="C303" s="80"/>
      <c r="D303" s="80"/>
      <c r="E303" s="82"/>
      <c r="F303" s="134"/>
      <c r="G303" s="82"/>
      <c r="H303" s="154"/>
      <c r="I303" s="80"/>
      <c r="J303" s="82"/>
      <c r="K303" s="154"/>
      <c r="L303" s="80"/>
    </row>
    <row r="304" spans="1:12" x14ac:dyDescent="0.25">
      <c r="A304" s="80"/>
      <c r="B304" s="133" t="s">
        <v>3</v>
      </c>
      <c r="C304" s="80"/>
      <c r="D304" s="80"/>
      <c r="E304" s="82"/>
      <c r="F304" s="154">
        <v>6321292015.2700005</v>
      </c>
      <c r="G304" s="82"/>
      <c r="H304" s="154">
        <v>6276410294.21</v>
      </c>
      <c r="I304" s="80"/>
      <c r="J304" s="82"/>
      <c r="K304" s="154">
        <v>6286563607.8500004</v>
      </c>
      <c r="L304" s="80"/>
    </row>
    <row r="305" spans="1:12" x14ac:dyDescent="0.25">
      <c r="A305" s="125"/>
      <c r="B305" s="135" t="s">
        <v>12</v>
      </c>
      <c r="C305" s="136">
        <v>0.24</v>
      </c>
      <c r="D305" s="125"/>
      <c r="E305" s="132"/>
      <c r="F305" s="155">
        <f>ROUND(F$304*$C305,2)</f>
        <v>1517110083.6600001</v>
      </c>
      <c r="G305" s="137">
        <v>0.24</v>
      </c>
      <c r="H305" s="155">
        <f>ROUND(H$304*G305,0)</f>
        <v>1506338471</v>
      </c>
      <c r="I305" s="125"/>
      <c r="J305" s="137">
        <v>0.24</v>
      </c>
      <c r="K305" s="155">
        <f>ROUND(K$304*J305,0)</f>
        <v>1508775266</v>
      </c>
      <c r="L305" s="125"/>
    </row>
    <row r="306" spans="1:12" x14ac:dyDescent="0.25">
      <c r="A306" s="125"/>
      <c r="B306" s="135" t="s">
        <v>4</v>
      </c>
      <c r="C306" s="136">
        <v>0.05</v>
      </c>
      <c r="D306" s="125"/>
      <c r="E306" s="132"/>
      <c r="F306" s="155">
        <f>ROUND(F$304*$C306,2)</f>
        <v>316064600.75999999</v>
      </c>
      <c r="G306" s="137">
        <v>0.05</v>
      </c>
      <c r="H306" s="155">
        <f>ROUND(H$304*G306,0)</f>
        <v>313820515</v>
      </c>
      <c r="I306" s="125"/>
      <c r="J306" s="137">
        <v>0.05</v>
      </c>
      <c r="K306" s="155">
        <f t="shared" ref="K306:K307" si="29">ROUND(K$304*J306,0)</f>
        <v>314328180</v>
      </c>
      <c r="L306" s="125"/>
    </row>
    <row r="307" spans="1:12" x14ac:dyDescent="0.25">
      <c r="A307" s="125"/>
      <c r="B307" s="135" t="s">
        <v>13</v>
      </c>
      <c r="C307" s="136">
        <v>0.01</v>
      </c>
      <c r="D307" s="125"/>
      <c r="E307" s="132"/>
      <c r="F307" s="155">
        <f>ROUND(F$304*$C307,2)</f>
        <v>63212920.149999999</v>
      </c>
      <c r="G307" s="137">
        <v>0.01</v>
      </c>
      <c r="H307" s="155">
        <f>ROUND(H$304*G307,0)</f>
        <v>62764103</v>
      </c>
      <c r="I307" s="125"/>
      <c r="J307" s="137">
        <v>0.01</v>
      </c>
      <c r="K307" s="155">
        <f t="shared" si="29"/>
        <v>62865636</v>
      </c>
      <c r="L307" s="125"/>
    </row>
    <row r="308" spans="1:12" x14ac:dyDescent="0.25">
      <c r="A308" s="125"/>
      <c r="B308" s="138" t="s">
        <v>5</v>
      </c>
      <c r="C308" s="139">
        <f>SUM(C305:C307)</f>
        <v>0.3</v>
      </c>
      <c r="D308" s="125"/>
      <c r="E308" s="132"/>
      <c r="F308" s="156">
        <f>SUM(F305:F307)</f>
        <v>1896387604.5700002</v>
      </c>
      <c r="G308" s="137">
        <f>SUM(G305:G307)</f>
        <v>0.3</v>
      </c>
      <c r="H308" s="156">
        <f>SUM(H305:H307)</f>
        <v>1882923089</v>
      </c>
      <c r="I308" s="125" t="str">
        <f>+IF(G308&lt;=$C$308,"OK","NO OK")</f>
        <v>OK</v>
      </c>
      <c r="J308" s="137">
        <f>SUM(J305:J307)</f>
        <v>0.3</v>
      </c>
      <c r="K308" s="156">
        <f>SUM(K305:K307)</f>
        <v>1885969082</v>
      </c>
      <c r="L308" s="125" t="str">
        <f>+IF(J308&lt;=$C$308,"OK","NO OK")</f>
        <v>OK</v>
      </c>
    </row>
    <row r="309" spans="1:12" x14ac:dyDescent="0.25">
      <c r="A309" s="125"/>
      <c r="B309" s="140" t="s">
        <v>6</v>
      </c>
      <c r="C309" s="141">
        <v>0.19</v>
      </c>
      <c r="D309" s="125"/>
      <c r="E309" s="132"/>
      <c r="F309" s="155">
        <f>ROUND(F304*C306*C309,2)</f>
        <v>60052274.149999999</v>
      </c>
      <c r="G309" s="137">
        <v>0.19</v>
      </c>
      <c r="H309" s="155">
        <f>ROUND(H304*G306*G309,0)</f>
        <v>59625898</v>
      </c>
      <c r="I309" s="125"/>
      <c r="J309" s="137">
        <v>0.19</v>
      </c>
      <c r="K309" s="155">
        <f>ROUND(K304*J306*J309,0)</f>
        <v>59722354</v>
      </c>
      <c r="L309" s="125"/>
    </row>
    <row r="310" spans="1:12" x14ac:dyDescent="0.25">
      <c r="A310" s="125"/>
      <c r="B310" s="142" t="s">
        <v>378</v>
      </c>
      <c r="C310" s="125"/>
      <c r="D310" s="143"/>
      <c r="E310" s="132"/>
      <c r="F310" s="156">
        <f>ROUND(F304+F308+F309,0)</f>
        <v>8277731894</v>
      </c>
      <c r="G310" s="144"/>
      <c r="H310" s="156">
        <f>ROUND(H304+H308+H309,0)</f>
        <v>8218959281</v>
      </c>
      <c r="I310" s="125"/>
      <c r="J310" s="144"/>
      <c r="K310" s="156">
        <f>ROUND(K304+K308+K309,0)</f>
        <v>8232255044</v>
      </c>
      <c r="L310" s="125"/>
    </row>
    <row r="311" spans="1:12" x14ac:dyDescent="0.25">
      <c r="A311" s="125"/>
      <c r="B311" s="142"/>
      <c r="C311" s="125"/>
      <c r="D311" s="143"/>
      <c r="E311" s="132"/>
      <c r="F311" s="156"/>
      <c r="G311" s="144"/>
      <c r="H311" s="132"/>
      <c r="I311" s="125"/>
      <c r="J311" s="144"/>
      <c r="K311" s="132"/>
      <c r="L311" s="125"/>
    </row>
    <row r="312" spans="1:12" x14ac:dyDescent="0.25">
      <c r="A312" s="125"/>
      <c r="B312" s="142" t="s">
        <v>370</v>
      </c>
      <c r="C312" s="125"/>
      <c r="D312" s="143"/>
      <c r="E312" s="132"/>
      <c r="F312" s="156"/>
      <c r="G312" s="144"/>
      <c r="H312" s="132"/>
      <c r="I312" s="125"/>
      <c r="J312" s="144"/>
      <c r="K312" s="132"/>
      <c r="L312" s="125"/>
    </row>
    <row r="313" spans="1:12" x14ac:dyDescent="0.25">
      <c r="A313" s="125"/>
      <c r="B313" s="142" t="s">
        <v>371</v>
      </c>
      <c r="C313" s="125"/>
      <c r="D313" s="143"/>
      <c r="E313" s="132"/>
      <c r="F313" s="156">
        <v>6293326</v>
      </c>
      <c r="G313" s="144"/>
      <c r="H313" s="156">
        <v>6252419</v>
      </c>
      <c r="I313" s="125"/>
      <c r="J313" s="144"/>
      <c r="K313" s="156">
        <v>6293326</v>
      </c>
      <c r="L313" s="125"/>
    </row>
    <row r="314" spans="1:12" x14ac:dyDescent="0.25">
      <c r="A314" s="80"/>
      <c r="B314" s="142" t="s">
        <v>372</v>
      </c>
      <c r="C314" s="80"/>
      <c r="D314" s="143"/>
      <c r="E314" s="82"/>
      <c r="F314" s="154">
        <v>3554909</v>
      </c>
      <c r="G314" s="157"/>
      <c r="H314" s="156">
        <v>3531802</v>
      </c>
      <c r="I314" s="80"/>
      <c r="J314" s="157"/>
      <c r="K314" s="156">
        <v>3554909</v>
      </c>
      <c r="L314" s="80"/>
    </row>
    <row r="315" spans="1:12" x14ac:dyDescent="0.25">
      <c r="A315" s="80"/>
      <c r="B315" s="142" t="s">
        <v>373</v>
      </c>
      <c r="C315" s="80"/>
      <c r="D315" s="143"/>
      <c r="E315" s="82"/>
      <c r="F315" s="154">
        <v>140484756</v>
      </c>
      <c r="G315" s="157"/>
      <c r="H315" s="156" t="e">
        <f>+#REF!</f>
        <v>#REF!</v>
      </c>
      <c r="I315" s="80"/>
      <c r="J315" s="157"/>
      <c r="K315" s="156" t="e">
        <f>+#REF!</f>
        <v>#REF!</v>
      </c>
      <c r="L315" s="80"/>
    </row>
    <row r="316" spans="1:12" x14ac:dyDescent="0.25">
      <c r="A316" s="80"/>
      <c r="B316" s="142" t="s">
        <v>374</v>
      </c>
      <c r="C316" s="80"/>
      <c r="D316" s="143"/>
      <c r="E316" s="82"/>
      <c r="F316" s="154">
        <v>681114964</v>
      </c>
      <c r="G316" s="157"/>
      <c r="H316" s="156" t="e">
        <f>+#REF!</f>
        <v>#REF!</v>
      </c>
      <c r="I316" s="80"/>
      <c r="J316" s="157"/>
      <c r="K316" s="156" t="e">
        <f>+#REF!</f>
        <v>#REF!</v>
      </c>
      <c r="L316" s="80"/>
    </row>
    <row r="317" spans="1:12" x14ac:dyDescent="0.25">
      <c r="A317" s="125"/>
      <c r="B317" s="142"/>
      <c r="C317" s="125"/>
      <c r="D317" s="143"/>
      <c r="E317" s="132"/>
      <c r="F317" s="156"/>
      <c r="G317" s="144"/>
      <c r="H317" s="155"/>
      <c r="I317" s="125"/>
      <c r="J317" s="144"/>
      <c r="K317" s="155"/>
      <c r="L317" s="125"/>
    </row>
    <row r="318" spans="1:12" x14ac:dyDescent="0.25">
      <c r="A318" s="80"/>
      <c r="B318" s="142" t="s">
        <v>375</v>
      </c>
      <c r="C318" s="80"/>
      <c r="D318" s="143"/>
      <c r="E318" s="82"/>
      <c r="F318" s="154">
        <f>SUM(F310:F317)</f>
        <v>9109179849</v>
      </c>
      <c r="G318" s="157"/>
      <c r="H318" s="155"/>
      <c r="I318" s="80"/>
      <c r="J318" s="157"/>
      <c r="K318" s="155"/>
      <c r="L318" s="80"/>
    </row>
    <row r="319" spans="1:12" x14ac:dyDescent="0.25">
      <c r="A319" s="125"/>
      <c r="B319" s="142"/>
      <c r="C319" s="125"/>
      <c r="D319" s="143"/>
      <c r="E319" s="132"/>
      <c r="F319" s="156"/>
      <c r="G319" s="144"/>
      <c r="H319" s="155"/>
      <c r="I319" s="125"/>
      <c r="J319" s="144"/>
      <c r="K319" s="155"/>
      <c r="L319" s="125"/>
    </row>
    <row r="320" spans="1:12" ht="15" x14ac:dyDescent="0.25">
      <c r="A320" s="125"/>
      <c r="B320" s="145" t="s">
        <v>47</v>
      </c>
      <c r="C320" s="125"/>
      <c r="D320" s="125"/>
      <c r="E320" s="125"/>
      <c r="F320" s="125"/>
      <c r="G320" s="80"/>
      <c r="H320" s="158" t="e">
        <f>SUM(H310:H319)</f>
        <v>#REF!</v>
      </c>
      <c r="I320" s="129" t="e">
        <f>+IF(H320&lt;=$F318,"OK","NO OK")</f>
        <v>#REF!</v>
      </c>
      <c r="J320" s="80"/>
      <c r="K320" s="158" t="e">
        <f>SUM(K310:K319)</f>
        <v>#REF!</v>
      </c>
      <c r="L320" s="129" t="e">
        <f>+IF(K320&lt;=$F318,"OK","NO OK")</f>
        <v>#REF!</v>
      </c>
    </row>
    <row r="321" spans="1:12" ht="15" x14ac:dyDescent="0.25">
      <c r="A321" s="80"/>
      <c r="B321" s="146" t="s">
        <v>48</v>
      </c>
      <c r="C321" s="80"/>
      <c r="D321" s="80"/>
      <c r="E321" s="80"/>
      <c r="F321" s="80"/>
      <c r="G321" s="80"/>
      <c r="H321" s="147" t="e">
        <f>+ROUND(H320/$F318,4)</f>
        <v>#REF!</v>
      </c>
      <c r="I321" s="129" t="e">
        <f>+IF(H321&gt;=95%,"OK","NO OK")</f>
        <v>#REF!</v>
      </c>
      <c r="J321" s="80"/>
      <c r="K321" s="147" t="e">
        <f>+ROUND(K320/$F318,4)</f>
        <v>#REF!</v>
      </c>
      <c r="L321" s="129" t="e">
        <f>+IF(K321&gt;=95%,"OK","NO OK")</f>
        <v>#REF!</v>
      </c>
    </row>
    <row r="322" spans="1:12" x14ac:dyDescent="0.25">
      <c r="A322" s="80"/>
      <c r="B322" s="146" t="s">
        <v>49</v>
      </c>
      <c r="C322" s="80"/>
      <c r="D322" s="80"/>
      <c r="E322" s="80"/>
      <c r="F322" s="80"/>
      <c r="G322" s="80"/>
      <c r="H322" s="154">
        <v>9045002680</v>
      </c>
      <c r="I322" s="80"/>
      <c r="J322" s="80"/>
      <c r="K322" s="134">
        <v>9059184370</v>
      </c>
      <c r="L322" s="80"/>
    </row>
    <row r="323" spans="1:12" x14ac:dyDescent="0.25">
      <c r="A323" s="80"/>
      <c r="B323" s="146" t="s">
        <v>50</v>
      </c>
      <c r="C323" s="80"/>
      <c r="D323" s="80"/>
      <c r="E323" s="80"/>
      <c r="F323" s="80"/>
      <c r="G323" s="80"/>
      <c r="H323" s="134" t="e">
        <f>+ABS(H320-H322)</f>
        <v>#REF!</v>
      </c>
      <c r="I323" s="80"/>
      <c r="J323" s="80"/>
      <c r="K323" s="134" t="e">
        <f>+ABS(K320-K322)</f>
        <v>#REF!</v>
      </c>
      <c r="L323" s="80"/>
    </row>
    <row r="324" spans="1:12" ht="15" x14ac:dyDescent="0.25">
      <c r="A324" s="80"/>
      <c r="B324" s="146" t="s">
        <v>51</v>
      </c>
      <c r="C324" s="80"/>
      <c r="D324" s="80"/>
      <c r="E324" s="80"/>
      <c r="F324" s="80"/>
      <c r="G324" s="80"/>
      <c r="H324" s="159" t="e">
        <f>+H323/H322</f>
        <v>#REF!</v>
      </c>
      <c r="I324" s="148" t="e">
        <f>+IF(H324&gt;0.1%,"NO OK","OK")</f>
        <v>#REF!</v>
      </c>
      <c r="J324" s="80"/>
      <c r="K324" s="159" t="e">
        <f>+K323/K322</f>
        <v>#REF!</v>
      </c>
      <c r="L324" s="148" t="e">
        <f>+IF(K324&gt;0.1%,"NO OK","OK")</f>
        <v>#REF!</v>
      </c>
    </row>
    <row r="325" spans="1:12" ht="15" x14ac:dyDescent="0.25">
      <c r="A325" s="80"/>
      <c r="B325" s="146" t="s">
        <v>52</v>
      </c>
      <c r="C325" s="80"/>
      <c r="D325" s="80"/>
      <c r="E325" s="80"/>
      <c r="F325" s="80"/>
      <c r="G325" s="80"/>
      <c r="H325" s="80"/>
      <c r="I325" s="148" t="s">
        <v>15</v>
      </c>
      <c r="J325" s="80"/>
      <c r="K325" s="80"/>
      <c r="L325" s="148" t="s">
        <v>15</v>
      </c>
    </row>
    <row r="326" spans="1:12" ht="15" x14ac:dyDescent="0.25">
      <c r="A326" s="80"/>
      <c r="B326" s="146" t="s">
        <v>53</v>
      </c>
      <c r="C326" s="80"/>
      <c r="D326" s="80"/>
      <c r="E326" s="80"/>
      <c r="F326" s="80"/>
      <c r="G326" s="695" t="e">
        <f>+IF(I320="OK",IF(I321="OK",IF(I324="OK",IF(I325="OK",IF(I308="OK","SI","NO"),"NO"),"NO"),"NO"),"NO")</f>
        <v>#REF!</v>
      </c>
      <c r="H326" s="696"/>
      <c r="I326" s="697"/>
      <c r="J326" s="695" t="e">
        <f>+IF(L320="OK",IF(L321="OK",IF(L324="OK",IF(L325="OK",IF(L308="OK","SI","NO"),"NO"),"NO"),"NO"),"NO")</f>
        <v>#REF!</v>
      </c>
      <c r="K326" s="696"/>
      <c r="L326" s="697"/>
    </row>
    <row r="328" spans="1:12" ht="15.75" x14ac:dyDescent="0.25">
      <c r="B328" s="32" t="s">
        <v>35</v>
      </c>
      <c r="G328" s="32"/>
      <c r="H328" s="40"/>
      <c r="I328" s="40"/>
      <c r="J328" s="32"/>
      <c r="K328" s="40"/>
      <c r="L328" s="40"/>
    </row>
    <row r="329" spans="1:12" x14ac:dyDescent="0.25">
      <c r="G329" s="39"/>
      <c r="H329" s="40"/>
      <c r="I329" s="40"/>
      <c r="J329" s="39"/>
      <c r="K329" s="40"/>
      <c r="L329" s="40"/>
    </row>
    <row r="330" spans="1:12" x14ac:dyDescent="0.25">
      <c r="G330" s="39"/>
      <c r="H330" s="40"/>
      <c r="I330" s="40"/>
      <c r="J330" s="39"/>
      <c r="K330" s="40"/>
      <c r="L330" s="40"/>
    </row>
    <row r="331" spans="1:12" x14ac:dyDescent="0.25">
      <c r="G331" s="39"/>
      <c r="H331" s="40"/>
      <c r="I331" s="40"/>
      <c r="J331" s="39"/>
      <c r="K331" s="40"/>
      <c r="L331" s="40"/>
    </row>
    <row r="332" spans="1:12" ht="15.75" x14ac:dyDescent="0.25">
      <c r="B332" s="42" t="s">
        <v>36</v>
      </c>
      <c r="C332" s="42"/>
      <c r="G332" s="42"/>
      <c r="H332" s="40"/>
      <c r="I332" s="42"/>
      <c r="J332" s="42"/>
      <c r="K332" s="40"/>
      <c r="L332" s="42"/>
    </row>
    <row r="333" spans="1:12" ht="15.75" x14ac:dyDescent="0.25">
      <c r="B333" s="43" t="s">
        <v>72</v>
      </c>
      <c r="C333" s="43"/>
      <c r="G333" s="43"/>
      <c r="H333" s="40"/>
      <c r="I333" s="43"/>
      <c r="J333" s="43"/>
      <c r="K333" s="40"/>
      <c r="L333" s="43"/>
    </row>
    <row r="334" spans="1:12" ht="15.75" x14ac:dyDescent="0.25">
      <c r="B334" s="43"/>
      <c r="G334" s="43"/>
      <c r="H334" s="40"/>
      <c r="I334" s="40"/>
      <c r="J334" s="43"/>
      <c r="K334" s="40"/>
      <c r="L334" s="40"/>
    </row>
    <row r="335" spans="1:12" ht="15.75" x14ac:dyDescent="0.25">
      <c r="B335" s="43"/>
      <c r="G335" s="43"/>
      <c r="H335" s="44"/>
      <c r="I335" s="44"/>
      <c r="J335" s="43"/>
      <c r="K335" s="44"/>
      <c r="L335" s="44"/>
    </row>
    <row r="336" spans="1:12" ht="15.75" x14ac:dyDescent="0.25">
      <c r="B336" s="43"/>
      <c r="G336" s="43"/>
      <c r="H336" s="44"/>
      <c r="I336" s="44"/>
      <c r="J336" s="43"/>
      <c r="K336" s="44"/>
      <c r="L336" s="44"/>
    </row>
    <row r="337" spans="2:12" ht="15.75" x14ac:dyDescent="0.25">
      <c r="B337" s="42" t="s">
        <v>37</v>
      </c>
      <c r="C337" s="42"/>
      <c r="G337" s="42"/>
      <c r="H337" s="42"/>
      <c r="I337" s="42"/>
      <c r="J337" s="42"/>
      <c r="K337" s="42"/>
      <c r="L337" s="42"/>
    </row>
    <row r="338" spans="2:12" ht="15.75" x14ac:dyDescent="0.25">
      <c r="B338" s="43" t="s">
        <v>38</v>
      </c>
      <c r="C338" s="43"/>
      <c r="G338" s="43"/>
      <c r="H338" s="44"/>
      <c r="I338" s="44"/>
      <c r="J338" s="43"/>
      <c r="K338" s="44"/>
      <c r="L338" s="44"/>
    </row>
    <row r="339" spans="2:12" ht="15.75" x14ac:dyDescent="0.25">
      <c r="B339" s="43" t="s">
        <v>39</v>
      </c>
      <c r="G339" s="43"/>
      <c r="H339" s="44"/>
      <c r="I339" s="44"/>
      <c r="J339" s="43"/>
      <c r="K339" s="44"/>
      <c r="L339" s="44"/>
    </row>
  </sheetData>
  <mergeCells count="15">
    <mergeCell ref="G326:I326"/>
    <mergeCell ref="J326:L326"/>
    <mergeCell ref="K6:K7"/>
    <mergeCell ref="A6:F6"/>
    <mergeCell ref="G6:G7"/>
    <mergeCell ref="H6:H7"/>
    <mergeCell ref="J6:J7"/>
    <mergeCell ref="A5:F5"/>
    <mergeCell ref="G5:I5"/>
    <mergeCell ref="J5:L5"/>
    <mergeCell ref="A1:F1"/>
    <mergeCell ref="A2:F2"/>
    <mergeCell ref="A3:F4"/>
    <mergeCell ref="G3:I4"/>
    <mergeCell ref="J3:L4"/>
  </mergeCells>
  <conditionalFormatting sqref="I9 I301 I11 I13 I15 I17 I19 I21 I23 I25 I27 I29 I31 I33 I35 I37 I39 I41 I43 I45 I47 I49 I51 I53 I55 I57 I59 I61 I63 I65 I67 I69 I71 I73 I75 I77 I79 I81 I83 I85 I87 I89 I91 I93 I95 I97 I99 I101 I103 I105 I107 I109 I111 I113 I115 I117 I119 I121 I123 I125 I127 I129 I131 I133 I135 I137 I139 I141 I143 I145 I147 I149 I151 I153 I155 I157 I159 I161 I163 I165 I167 I169 I171 I173 I175 I177 I179 I181 I183 I185 I187 I189 I191 I193 I195 I197 I199 I201 I203 I205 I207 I209 I211 I213 I215 I217 I219 I221 I223 I225 I227 I229 I231 I233 I235 I237 I239 I241 I243 I245 I247 I249 I251 I253 I255 I257 I259 I261 I263 I265 I267 I269 I271 I273 I275 I277 I279 I281 I283 I285 I287 I289 I291 I293 I295 I297 I299">
    <cfRule type="containsText" dxfId="60" priority="41" operator="containsText" text="NO OK">
      <formula>NOT(ISERROR(SEARCH("NO OK",I9)))</formula>
    </cfRule>
  </conditionalFormatting>
  <conditionalFormatting sqref="I324">
    <cfRule type="containsText" dxfId="59" priority="40" operator="containsText" text="NO OK">
      <formula>NOT(ISERROR(SEARCH("NO OK",I324)))</formula>
    </cfRule>
  </conditionalFormatting>
  <conditionalFormatting sqref="I320:I321">
    <cfRule type="containsText" dxfId="58" priority="39" operator="containsText" text="NO OK">
      <formula>NOT(ISERROR(SEARCH("NO OK",I320)))</formula>
    </cfRule>
  </conditionalFormatting>
  <conditionalFormatting sqref="I325">
    <cfRule type="containsText" dxfId="57" priority="38" operator="containsText" text="NO OK">
      <formula>NOT(ISERROR(SEARCH("NO OK",I325)))</formula>
    </cfRule>
  </conditionalFormatting>
  <conditionalFormatting sqref="I308">
    <cfRule type="cellIs" dxfId="56" priority="37" operator="equal">
      <formula>"NO OK"</formula>
    </cfRule>
  </conditionalFormatting>
  <conditionalFormatting sqref="G326">
    <cfRule type="containsText" dxfId="55" priority="36" operator="containsText" text="NO">
      <formula>NOT(ISERROR(SEARCH("NO",G326)))</formula>
    </cfRule>
  </conditionalFormatting>
  <conditionalFormatting sqref="L9 L301 L11 L13 L15 L17 L19 L21 L23 L25 L27 L29 L31 L33 L35 L37 L39 L41 L43 L45 L47 L49 L51 L53 L55 L57 L59 L61 L63 L65 L67 L69 L71 L73 L75 L77 L79 L81 L83 L85 L87 L89 L91 L93 L95 L97 L99 L101 L103 L105 L107 L109 L111 L113 L115 L117 L119 L121 L123 L125 L127 L129 L131 L133 L135 L137 L139 L141 L143 L145 L147 L149 L151 L153 L155 L157 L159 L161 L163 L165 L167 L169 L171 L173 L175 L177 L179 L181 L183 L185 L187 L189 L191 L193 L195 L197 L199 L201 L203 L205 L207 L209 L211 L213 L215 L217 L219 L221 L223 L225 L227 L229 L231 L233 L235 L237 L239 L241 L243 L245 L247 L249 L251 L253 L255 L257 L259 L261 L263 L265 L267 L269 L271 L273 L275 L277 L279 L281 L283 L285 L287 L289 L291 L293 L295 L297 L299">
    <cfRule type="containsText" dxfId="54" priority="35" operator="containsText" text="NO OK">
      <formula>NOT(ISERROR(SEARCH("NO OK",L9)))</formula>
    </cfRule>
  </conditionalFormatting>
  <conditionalFormatting sqref="L324">
    <cfRule type="containsText" dxfId="53" priority="34" operator="containsText" text="NO OK">
      <formula>NOT(ISERROR(SEARCH("NO OK",L324)))</formula>
    </cfRule>
  </conditionalFormatting>
  <conditionalFormatting sqref="L321">
    <cfRule type="containsText" dxfId="52" priority="33" operator="containsText" text="NO OK">
      <formula>NOT(ISERROR(SEARCH("NO OK",L321)))</formula>
    </cfRule>
  </conditionalFormatting>
  <conditionalFormatting sqref="L325">
    <cfRule type="containsText" dxfId="51" priority="32" operator="containsText" text="NO OK">
      <formula>NOT(ISERROR(SEARCH("NO OK",L325)))</formula>
    </cfRule>
  </conditionalFormatting>
  <conditionalFormatting sqref="L308">
    <cfRule type="cellIs" dxfId="50" priority="31" operator="equal">
      <formula>"NO OK"</formula>
    </cfRule>
  </conditionalFormatting>
  <conditionalFormatting sqref="J326">
    <cfRule type="containsText" dxfId="49" priority="30" operator="containsText" text="NO">
      <formula>NOT(ISERROR(SEARCH("NO",J326)))</formula>
    </cfRule>
  </conditionalFormatting>
  <conditionalFormatting sqref="G326:L326">
    <cfRule type="containsText" dxfId="48" priority="23" operator="containsText" text="SI">
      <formula>NOT(ISERROR(SEARCH("SI",G326)))</formula>
    </cfRule>
  </conditionalFormatting>
  <conditionalFormatting sqref="I10 I12 I14 I16 I18 I20 I22 I24 I26 I28 I30 I32 I34 I36 I38 I40 I42 I44 I46 I48 I50 I52 I54 I56 I58 I60 I62 I64 I66 I68 I70 I72 I74 I76 I78 I80 I82 I84 I86 I88 I90 I92 I94 I96 I98 I100 I102 I104 I106 I108 I110 I112 I114 I116 I118 I120 I122 I124 I126 I128 I130 I132 I134 I136 I138 I140 I142 I144 I146 I148 I150 I152 I154 I156 I158 I160 I162 I164 I166 I168 I170 I172 I174 I176 I178 I180 I182 I184 I186 I188 I190 I192 I194 I196 I198 I200 I202 I204 I206 I208 I210 I212 I214 I216 I218 I220 I222 I224 I226 I228 I230 I232 I234 I236 I238 I240 I242 I244 I246 I248 I250 I252 I254 I256 I258 I260 I262 I264 I266 I268 I270 I272 I274 I276 I278 I280 I282 I284 I286 I288 I290 I292 I294 I296 I298 I300">
    <cfRule type="containsText" dxfId="47" priority="7"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L108 L110 L112 L114 L116 L118 L120 L122 L124 L126 L128 L130 L132 L134 L136 L138 L140 L142 L144 L146 L148 L150 L152 L154 L156 L158 L160 L162 L164 L166 L168 L170 L172 L174 L176 L178 L180 L182 L184 L186 L188 L190 L192 L194 L196 L198 L200 L202 L204 L206 L208 L210 L212 L214 L216 L218 L220 L222 L224 L226 L228 L230 L232 L234 L236 L238 L240 L242 L244 L246 L248 L250 L252 L254 L256 L258 L260 L262 L264 L266 L268 L270 L272 L274 L276 L278 L280 L282 L284 L286 L288 L290 L292 L294 L296 L298 L300">
    <cfRule type="containsText" dxfId="46" priority="6" operator="containsText" text="NO OK">
      <formula>NOT(ISERROR(SEARCH("NO OK",L10)))</formula>
    </cfRule>
  </conditionalFormatting>
  <conditionalFormatting sqref="L320">
    <cfRule type="containsText" dxfId="45" priority="1" operator="containsText" text="NO OK">
      <formula>NOT(ISERROR(SEARCH("NO OK",L320)))</formula>
    </cfRule>
  </conditionalFormatting>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VERIFICACIÓN JURÍDICA</vt:lpstr>
      <vt:lpstr>VERIFICACIÓN FINANCIERA</vt:lpstr>
      <vt:lpstr>VERIFICACIÓN TÉCNICA</vt:lpstr>
      <vt:lpstr>VTE</vt:lpstr>
      <vt:lpstr>VTE PERSONAL</vt:lpstr>
      <vt:lpstr>CHEQUEO Kr</vt:lpstr>
      <vt:lpstr>CALIFICACION PERSONAL</vt:lpstr>
      <vt:lpstr>CORREC. ARITM. GENERAL1</vt:lpstr>
      <vt:lpstr>CORREC. ARITM. GENERAL</vt:lpstr>
      <vt:lpstr>'CALIFICACION PERSONAL'!Área_de_impresión</vt:lpstr>
      <vt:lpstr>'CHEQUEO Kr'!Área_de_impresión</vt:lpstr>
      <vt:lpstr>'VERIFICACIÓN TÉCNICA'!Área_de_impresión</vt:lpstr>
      <vt:lpstr>VTE!Área_de_impresión</vt:lpstr>
      <vt:lpstr>'VTE PERSONAL'!Área_de_impresión</vt:lpstr>
      <vt:lpstr>'VERIFICACIÓN TÉCNICA'!formula</vt:lpstr>
      <vt:lpstr>'CALIFICACION PERSONAL'!Títulos_a_imprimir</vt:lpstr>
      <vt:lpstr>'VERIFICACIÓN TÉCNICA'!Títulos_a_imprimir</vt:lpstr>
      <vt:lpstr>VTE!Títulos_a_imprimir</vt:lpstr>
      <vt:lpstr>'VTE PERSONAL'!Títulos_a_imprimir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SAS2020</cp:lastModifiedBy>
  <cp:lastPrinted>2020-05-26T15:55:44Z</cp:lastPrinted>
  <dcterms:created xsi:type="dcterms:W3CDTF">2009-02-06T14:59:26Z</dcterms:created>
  <dcterms:modified xsi:type="dcterms:W3CDTF">2020-07-09T03:11:21Z</dcterms:modified>
</cp:coreProperties>
</file>